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9" activeTab="9"/>
  </bookViews>
  <sheets>
    <sheet name="Диаграмма1" sheetId="1" state="hidden" r:id="rId1"/>
    <sheet name="питание 2010 г." sheetId="2" state="hidden" r:id="rId2"/>
    <sheet name="распоряж.2010-11 уч.г." sheetId="3" state="hidden" r:id="rId3"/>
    <sheet name="распор.2011-12 уч.г" sheetId="4" state="hidden" r:id="rId4"/>
    <sheet name="распор. 2012-2013 уч.г." sheetId="5" state="hidden" r:id="rId5"/>
    <sheet name="питание 2017 г." sheetId="6" state="hidden" r:id="rId6"/>
    <sheet name="питание 2012г." sheetId="7" state="hidden" r:id="rId7"/>
    <sheet name="питание 2011г." sheetId="8" state="hidden" r:id="rId8"/>
    <sheet name="питание 2009-10 уч.г." sheetId="9" state="hidden" r:id="rId9"/>
    <sheet name="к постановлению" sheetId="10" r:id="rId10"/>
  </sheets>
  <definedNames>
    <definedName name="_xlnm.Print_Area" localSheetId="5">'питание 2017 г.'!$A$1:$S$42</definedName>
  </definedNames>
  <calcPr fullCalcOnLoad="1" refMode="R1C1"/>
</workbook>
</file>

<file path=xl/sharedStrings.xml><?xml version="1.0" encoding="utf-8"?>
<sst xmlns="http://schemas.openxmlformats.org/spreadsheetml/2006/main" count="1032" uniqueCount="227">
  <si>
    <t>кол-во</t>
  </si>
  <si>
    <t>сумма</t>
  </si>
  <si>
    <t>Итого</t>
  </si>
  <si>
    <t>2009г.</t>
  </si>
  <si>
    <t>уч-ся</t>
  </si>
  <si>
    <t>ВСЕГО</t>
  </si>
  <si>
    <t>сентя</t>
  </si>
  <si>
    <t>октя</t>
  </si>
  <si>
    <t>дека</t>
  </si>
  <si>
    <t>Наименование  МОУ</t>
  </si>
  <si>
    <t>1-4кл.</t>
  </si>
  <si>
    <t>руб.</t>
  </si>
  <si>
    <t>ГПД</t>
  </si>
  <si>
    <t>каде</t>
  </si>
  <si>
    <t>в день</t>
  </si>
  <si>
    <t>брь</t>
  </si>
  <si>
    <t>на1.09.</t>
  </si>
  <si>
    <t>тский</t>
  </si>
  <si>
    <t>класс</t>
  </si>
  <si>
    <t>тыс.</t>
  </si>
  <si>
    <t xml:space="preserve">    руб.</t>
  </si>
  <si>
    <t>МОУ"Боевская сош"</t>
  </si>
  <si>
    <t>МОУ"Данковская сош"</t>
  </si>
  <si>
    <t>МОУ"Дзержинская сош"</t>
  </si>
  <si>
    <t>МОУ"Запрудская сош"</t>
  </si>
  <si>
    <t>МОУ"Каширская сош"</t>
  </si>
  <si>
    <t>МОУ"Колодезянская сош"</t>
  </si>
  <si>
    <t>МОУ"Краснологская сош"</t>
  </si>
  <si>
    <t>МОУ"Левороссошанская сош"</t>
  </si>
  <si>
    <t>МОУ"Можайская сош"</t>
  </si>
  <si>
    <t>МОУ"Олень-Колодезянская оош"</t>
  </si>
  <si>
    <t>МОУ"Ильичевская оош"</t>
  </si>
  <si>
    <t>МОУ"Казьмадемьяновская оош"</t>
  </si>
  <si>
    <t>МОУ"Каменноверховская оош"</t>
  </si>
  <si>
    <t>МОУ"Каширская оош"</t>
  </si>
  <si>
    <t>МОУ"Коломенская оош"</t>
  </si>
  <si>
    <t>МОУ"Кондрашкинская оош"</t>
  </si>
  <si>
    <t>МОУ"Круглянская оош"</t>
  </si>
  <si>
    <t>МОУ"Мосальская оош"</t>
  </si>
  <si>
    <t>МОУ"Совхозная оош"</t>
  </si>
  <si>
    <t>МОУ"Солонецкая оош"</t>
  </si>
  <si>
    <t>МОУ"Дзержинская нош"</t>
  </si>
  <si>
    <t>МОУ"Оболенская нош"</t>
  </si>
  <si>
    <t>ИТОГО</t>
  </si>
  <si>
    <t>А.А.Налетов</t>
  </si>
  <si>
    <t>янв</t>
  </si>
  <si>
    <t>март</t>
  </si>
  <si>
    <t>апр</t>
  </si>
  <si>
    <t>май</t>
  </si>
  <si>
    <t>дн.</t>
  </si>
  <si>
    <t>174дн.</t>
  </si>
  <si>
    <t>174дн</t>
  </si>
  <si>
    <t>ноя</t>
  </si>
  <si>
    <t>ель</t>
  </si>
  <si>
    <t>фев</t>
  </si>
  <si>
    <t>раль</t>
  </si>
  <si>
    <t>арь</t>
  </si>
  <si>
    <t xml:space="preserve">уч-ся </t>
  </si>
  <si>
    <t>5-11кл.</t>
  </si>
  <si>
    <t>из много</t>
  </si>
  <si>
    <t>детных</t>
  </si>
  <si>
    <t>семей</t>
  </si>
  <si>
    <t>Приложение</t>
  </si>
  <si>
    <t>к распоряжению администрации</t>
  </si>
  <si>
    <t>Каширского муниципального района</t>
  </si>
  <si>
    <t>от __________________ № ________</t>
  </si>
  <si>
    <t>СМЕТА   РАСХОДОВ</t>
  </si>
  <si>
    <t xml:space="preserve"> НА  ПИТАНИЕ  УЧАЩИХСЯ    ШКОЛ   и   Г П Д    КАШИРСКОГО МУНИЦИПАЛЬНОГО РАЙОНА  на сентябрь 2009 г.-май 2010 г.</t>
  </si>
  <si>
    <t>11,61р</t>
  </si>
  <si>
    <t>10дн.</t>
  </si>
  <si>
    <t xml:space="preserve"> НА  ПИТАНИЕ  УЧАЩИХСЯ    ШКОЛ   и   Г П Д    КАШИРСКОГО МУНИЦИПАЛЬНОГО РАЙОНА  на 2010 г.</t>
  </si>
  <si>
    <t>Утверждаю:</t>
  </si>
  <si>
    <t>Руководитель отдела образования</t>
  </si>
  <si>
    <t>28.10.2009г.</t>
  </si>
  <si>
    <t>Исполнила : Науменко Т.Ф.</t>
  </si>
  <si>
    <t>Каширская СОШ открыла дополнительно 1 ГПД стало  50 детей</t>
  </si>
  <si>
    <t>1 кв.</t>
  </si>
  <si>
    <t>2 кв.</t>
  </si>
  <si>
    <t>4 кв.</t>
  </si>
  <si>
    <t>3 кв.</t>
  </si>
  <si>
    <t>утвер</t>
  </si>
  <si>
    <t>ждено</t>
  </si>
  <si>
    <t>Голубева не разрешила Каширской СОШ  выделять на вторую  ГПД</t>
  </si>
  <si>
    <t>не верно</t>
  </si>
  <si>
    <t>09.01.2010 г.</t>
  </si>
  <si>
    <t>И.о.гл.бухгалтера</t>
  </si>
  <si>
    <t>Экономист</t>
  </si>
  <si>
    <t>Е.Ф.Артемьева</t>
  </si>
  <si>
    <t>Т.Ф.Науменко</t>
  </si>
  <si>
    <t>много</t>
  </si>
  <si>
    <t>детным</t>
  </si>
  <si>
    <t>юношей</t>
  </si>
  <si>
    <t>допризы</t>
  </si>
  <si>
    <t>вного</t>
  </si>
  <si>
    <t>возраста</t>
  </si>
  <si>
    <t>по11,61</t>
  </si>
  <si>
    <t>руб/день</t>
  </si>
  <si>
    <t>вникам</t>
  </si>
  <si>
    <t>тыс.руб.</t>
  </si>
  <si>
    <t xml:space="preserve">Итого </t>
  </si>
  <si>
    <t>тыс.руб</t>
  </si>
  <si>
    <t>174 дн.</t>
  </si>
  <si>
    <t>1-4 кл.</t>
  </si>
  <si>
    <t>по 11,61</t>
  </si>
  <si>
    <t>174 дн</t>
  </si>
  <si>
    <t>по 20,62</t>
  </si>
  <si>
    <t>Г П Д</t>
  </si>
  <si>
    <t xml:space="preserve"> НА ПИТАНИЕ УЧАЩИХСЯ  ШКОЛ  и  Г П Д  КАШИРСКОГО МУНИЦИПАЛЬНОГО РАЙОНА</t>
  </si>
  <si>
    <t xml:space="preserve">  на сентябрь 2010 г.-май 2011 г.</t>
  </si>
  <si>
    <t xml:space="preserve"> </t>
  </si>
  <si>
    <t>к постановлению администрации</t>
  </si>
  <si>
    <t xml:space="preserve"> НА ПИТАНИЕ УЧАЩИХСЯ  ШКОЛ  и  Г П Д  КАШИРСКОГО МУНИЦИПАЛЬНОГО РАЙОНА на 2011 г</t>
  </si>
  <si>
    <t>Всего</t>
  </si>
  <si>
    <t>2011 г.</t>
  </si>
  <si>
    <t xml:space="preserve">  на сентябрь 2011 г.-май 2012 г.</t>
  </si>
  <si>
    <t>Гл. бухгалтер</t>
  </si>
  <si>
    <t>Л.П.Снегирева</t>
  </si>
  <si>
    <t>Е.В.Зюзина</t>
  </si>
  <si>
    <t>28.09.2011 г.</t>
  </si>
  <si>
    <t>(без</t>
  </si>
  <si>
    <t>подгот</t>
  </si>
  <si>
    <t>дней</t>
  </si>
  <si>
    <t>172дн.</t>
  </si>
  <si>
    <t>173дн.</t>
  </si>
  <si>
    <t>по20,62</t>
  </si>
  <si>
    <t>в 2012 году</t>
  </si>
  <si>
    <t>28.10.2011 г.</t>
  </si>
  <si>
    <t>2012 сентябрь 20 дн.</t>
  </si>
  <si>
    <t>2012 октябрь 23 дн.</t>
  </si>
  <si>
    <t>2012 ноябрь 17 дн.</t>
  </si>
  <si>
    <t>2012 декабрь 20 дн.</t>
  </si>
  <si>
    <t>2013 январь 14 дн.</t>
  </si>
  <si>
    <t>2013 февраль 20 дн.</t>
  </si>
  <si>
    <t>2013 март 16 дн.</t>
  </si>
  <si>
    <t>2013 апрель 21 дн.</t>
  </si>
  <si>
    <t>2013 май 21 дн.</t>
  </si>
  <si>
    <t>кол-во уч-ся 1-4 кл. на 1.09.2012 (без подготовки)</t>
  </si>
  <si>
    <t>Наименование  МКОУ</t>
  </si>
  <si>
    <t>Итого 172 дн. по 11,61 руб/день уч-ся 1-4 кл. тыс.руб.</t>
  </si>
  <si>
    <t>кол-во уч-ся 5-11 кл. из многодетных семей</t>
  </si>
  <si>
    <t>Итого 172 дн. по 11,61 руб/день многодетным тыс.руб.</t>
  </si>
  <si>
    <t>кол-во юношей допризывного возраста</t>
  </si>
  <si>
    <t>Итого 172 дн. по 20,62 руб/день допризывникам тыс.руб.</t>
  </si>
  <si>
    <t>кол-во уч-ся ГПД</t>
  </si>
  <si>
    <t>Итого 172 дн. по 20,62 руб/день уч-ся ГПД тыс.руб.</t>
  </si>
  <si>
    <t>ВСЕГО 1.09.2012-31.05.2013 172 дней тыс.руб.</t>
  </si>
  <si>
    <t>У.К.Саидов</t>
  </si>
  <si>
    <t>администрации    Каширского</t>
  </si>
  <si>
    <t>муниципального           района</t>
  </si>
  <si>
    <r>
      <t xml:space="preserve">от </t>
    </r>
    <r>
      <rPr>
        <u val="single"/>
        <sz val="12"/>
        <rFont val="Times New Roman"/>
        <family val="1"/>
      </rPr>
      <t>___________</t>
    </r>
    <r>
      <rPr>
        <sz val="12"/>
        <rFont val="Times New Roman"/>
        <family val="1"/>
      </rPr>
      <t xml:space="preserve"> г. № </t>
    </r>
    <r>
      <rPr>
        <u val="single"/>
        <sz val="12"/>
        <rFont val="Times New Roman"/>
        <family val="1"/>
      </rPr>
      <t>_____</t>
    </r>
    <r>
      <rPr>
        <sz val="12"/>
        <rFont val="Times New Roman"/>
        <family val="1"/>
      </rPr>
      <t xml:space="preserve"> </t>
    </r>
  </si>
  <si>
    <t>21 сентября 2012 г.</t>
  </si>
  <si>
    <t>в 2012-2013 году</t>
  </si>
  <si>
    <t>Приложение к распоряжению</t>
  </si>
  <si>
    <t xml:space="preserve"> НА ПИТАНИЕ УЧАЩИХСЯ  ШКОЛ  и  Г П Д  КАШИРСКОГО МУНИЦИПАЛЬНОГО РАЙОНА на 2017 г.</t>
  </si>
  <si>
    <t>кол-во уч-ся 1-4 кл. на 1.09.2016 (без подготовки)</t>
  </si>
  <si>
    <t>2017 январь 17 дн.</t>
  </si>
  <si>
    <t>2017 февраль 18 дн.</t>
  </si>
  <si>
    <t>2017 март 22 дн.</t>
  </si>
  <si>
    <t>2017 апрель 20 дн.</t>
  </si>
  <si>
    <t>2017 май 20 дн.</t>
  </si>
  <si>
    <t>2017 сентябрь 21  дн.</t>
  </si>
  <si>
    <t>2017 октябрь 22 дн.</t>
  </si>
  <si>
    <t>2017 ноябрь 21  дн.</t>
  </si>
  <si>
    <t>2017 декабрь 21 дн.</t>
  </si>
  <si>
    <t>ВСЕГО в 2017 году 182 дня тыс.руб.</t>
  </si>
  <si>
    <t>Итого 182 дн. по 20,62 руб/день уч-ся ГПД тыс.руб.</t>
  </si>
  <si>
    <t>Итого 182 дн. по 20,62 руб/день допризывникам тыс.руб.</t>
  </si>
  <si>
    <t>Итого 182 дн. по 11,61 руб/день уч-ся 1-4 кл. тыс.руб.</t>
  </si>
  <si>
    <t>МКОУ "Боевская сош"</t>
  </si>
  <si>
    <t>МКОУ "Данковская сош"</t>
  </si>
  <si>
    <t>МКОУ "Дзержинская сош"</t>
  </si>
  <si>
    <t>МКОУ "Запрудская сош"</t>
  </si>
  <si>
    <t>МКОУ "Каширская сош"</t>
  </si>
  <si>
    <t>МКОУ "Колодезянская сош"</t>
  </si>
  <si>
    <t>МКОУ "Краснологская сош"</t>
  </si>
  <si>
    <t>МКОУ "Левороссошанская сош"</t>
  </si>
  <si>
    <t>МКОУ "Можайская сош"</t>
  </si>
  <si>
    <t>МКОУ "Ильичевская оош"</t>
  </si>
  <si>
    <t>МКОУ "Казьмадемьяновская оош"</t>
  </si>
  <si>
    <t>МКОУ "Каменноверховская оош"</t>
  </si>
  <si>
    <t>МКОУ "Кондрашкинская оош"</t>
  </si>
  <si>
    <t>МКОУ "Круглянская оош"</t>
  </si>
  <si>
    <t>МКОУ "Мосальская оош"</t>
  </si>
  <si>
    <t>МКОУ "Совхозная оош"</t>
  </si>
  <si>
    <t>МКОУ "Солонецкая оош"</t>
  </si>
  <si>
    <t>№_______от_________________</t>
  </si>
  <si>
    <t xml:space="preserve">администрации Каширского </t>
  </si>
  <si>
    <t xml:space="preserve"> муниципального района</t>
  </si>
  <si>
    <t>Филиал МКОУ "Каширская сош"</t>
  </si>
  <si>
    <t>кол-во уч-ся 5-11 кл. из многодетных и малообеспеченных семей</t>
  </si>
  <si>
    <t>Итого 182 дн. по 11,61 руб/день многодетным и малообеспеченным семьям тыс.руб.</t>
  </si>
  <si>
    <t>МКОУ "Боевская СОШ"</t>
  </si>
  <si>
    <t>МКОУ "Данковская СОШ"</t>
  </si>
  <si>
    <t>МКОУ "Дзержинская СОШ"</t>
  </si>
  <si>
    <t>МКОУ "Запрудская СОШ"</t>
  </si>
  <si>
    <t>МКОУ "Каширская СОШ"</t>
  </si>
  <si>
    <t>МКОУ "Колодезянская СОШ"</t>
  </si>
  <si>
    <t>МКОУ "Краснологская СОШ"</t>
  </si>
  <si>
    <t>МКОУ "Можайская СОШ"</t>
  </si>
  <si>
    <t>МКОУ "Ильичевская ООШ"</t>
  </si>
  <si>
    <t>МКОУ "Казьмадемьяновская ООШ"</t>
  </si>
  <si>
    <t>МКОУ "Каменноверховская ООШ"</t>
  </si>
  <si>
    <t>МКОУ "Круглянская ООШ"</t>
  </si>
  <si>
    <t>МКОУ "Мосальская ООШ"</t>
  </si>
  <si>
    <t>МКОУ "Совхозная ООШ"</t>
  </si>
  <si>
    <t>МКОУ "Солонецкая ООШ"</t>
  </si>
  <si>
    <t>Кол-во уч-ся 5-11 кл. из многодетных и малообеспеченных семей</t>
  </si>
  <si>
    <t>Кол-во подростков допризывного возраста и с дефицитом массы тела</t>
  </si>
  <si>
    <t>МКОУ "Кондрашкинская ООШ имени кавалера ордена Мужества Дениса Александровича Налетова"</t>
  </si>
  <si>
    <r>
      <t xml:space="preserve"> НА ПИТАНИЕ УЧАЩИХСЯ  ШКОЛ  И  ГПД  КАШИРСКОГО МУНИЦИПАЛЬНОГО РАЙОНА НА </t>
    </r>
    <r>
      <rPr>
        <sz val="12"/>
        <rFont val="Times New Roman"/>
        <family val="1"/>
      </rPr>
      <t>2020-2021</t>
    </r>
    <r>
      <rPr>
        <sz val="11"/>
        <rFont val="Times New Roman"/>
        <family val="1"/>
      </rPr>
      <t xml:space="preserve"> УЧ.ГОД</t>
    </r>
  </si>
  <si>
    <t xml:space="preserve">Кол-во уч-ся 1-4 кл. на 1.09.2020 г. </t>
  </si>
  <si>
    <t>МКОУ "Левороссошанская СОШ имени Палагина Владимира Васильевича"</t>
  </si>
  <si>
    <t>Итого 162 дня по 11,61 руб/день, тыс.руб                               с 01.10.2020 г.</t>
  </si>
  <si>
    <t>Итого 184 дня по 20,62 руб/день, тыс.руб.</t>
  </si>
  <si>
    <t>2020 сентябрь 22 дня</t>
  </si>
  <si>
    <t>2020 октябрь 22 дня</t>
  </si>
  <si>
    <t>2020 ноябрь 20 дней</t>
  </si>
  <si>
    <t>2020 декабрь 23 дня</t>
  </si>
  <si>
    <t>2021 январь 15 дней</t>
  </si>
  <si>
    <t>2021 февраль 19 дней</t>
  </si>
  <si>
    <t>2021 март 22 дня</t>
  </si>
  <si>
    <t>2021 апрель 22 дня</t>
  </si>
  <si>
    <t>2021 май 19 дней</t>
  </si>
  <si>
    <t>Кол-во учащихся ГПД</t>
  </si>
  <si>
    <t>ВСЕГО в 2020-2021 уч.году, тыс.руб.</t>
  </si>
  <si>
    <t>Кол-во обучающихся с ОВЗ                    (1-11 кл. - на дому, 5-11 кл. - в школе)</t>
  </si>
  <si>
    <t>№ 227-р ОД от 11.09.2020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</si>
</sst>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"/>
    <numFmt numFmtId="180" formatCode="0.0000"/>
  </numFmts>
  <fonts count="5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340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 horizontal="center"/>
    </xf>
    <xf numFmtId="0" fontId="0" fillId="33" borderId="0" xfId="0" applyFont="1" applyFill="1" applyBorder="1" applyAlignment="1">
      <alignment/>
    </xf>
    <xf numFmtId="173" fontId="0" fillId="0" borderId="0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173" fontId="0" fillId="0" borderId="16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73" fontId="0" fillId="0" borderId="0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17" fontId="1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/>
    </xf>
    <xf numFmtId="1" fontId="0" fillId="0" borderId="20" xfId="0" applyNumberFormat="1" applyFont="1" applyBorder="1" applyAlignment="1">
      <alignment/>
    </xf>
    <xf numFmtId="173" fontId="0" fillId="0" borderId="20" xfId="0" applyNumberFormat="1" applyFont="1" applyBorder="1" applyAlignment="1">
      <alignment/>
    </xf>
    <xf numFmtId="0" fontId="1" fillId="0" borderId="20" xfId="0" applyFont="1" applyBorder="1" applyAlignment="1">
      <alignment/>
    </xf>
    <xf numFmtId="173" fontId="1" fillId="0" borderId="20" xfId="0" applyNumberFormat="1" applyFont="1" applyBorder="1" applyAlignment="1">
      <alignment/>
    </xf>
    <xf numFmtId="173" fontId="0" fillId="0" borderId="21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172" fontId="1" fillId="0" borderId="20" xfId="0" applyNumberFormat="1" applyFont="1" applyBorder="1" applyAlignment="1">
      <alignment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73" fontId="1" fillId="0" borderId="10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6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73" fontId="1" fillId="0" borderId="16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center"/>
    </xf>
    <xf numFmtId="173" fontId="1" fillId="0" borderId="23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173" fontId="1" fillId="0" borderId="13" xfId="0" applyNumberFormat="1" applyFont="1" applyBorder="1" applyAlignment="1">
      <alignment/>
    </xf>
    <xf numFmtId="173" fontId="0" fillId="0" borderId="25" xfId="0" applyNumberFormat="1" applyFont="1" applyBorder="1" applyAlignment="1">
      <alignment/>
    </xf>
    <xf numFmtId="1" fontId="0" fillId="0" borderId="25" xfId="0" applyNumberFormat="1" applyFont="1" applyBorder="1" applyAlignment="1">
      <alignment/>
    </xf>
    <xf numFmtId="1" fontId="0" fillId="0" borderId="16" xfId="0" applyNumberFormat="1" applyFont="1" applyBorder="1" applyAlignment="1">
      <alignment horizontal="center"/>
    </xf>
    <xf numFmtId="0" fontId="0" fillId="0" borderId="22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0" fillId="34" borderId="13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17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173" fontId="0" fillId="0" borderId="22" xfId="0" applyNumberFormat="1" applyFont="1" applyBorder="1" applyAlignment="1">
      <alignment/>
    </xf>
    <xf numFmtId="173" fontId="0" fillId="0" borderId="26" xfId="0" applyNumberFormat="1" applyFont="1" applyBorder="1" applyAlignment="1">
      <alignment/>
    </xf>
    <xf numFmtId="173" fontId="0" fillId="0" borderId="13" xfId="0" applyNumberFormat="1" applyFont="1" applyBorder="1" applyAlignment="1">
      <alignment/>
    </xf>
    <xf numFmtId="172" fontId="1" fillId="0" borderId="16" xfId="0" applyNumberFormat="1" applyFont="1" applyBorder="1" applyAlignment="1">
      <alignment/>
    </xf>
    <xf numFmtId="172" fontId="1" fillId="0" borderId="16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73" fontId="1" fillId="0" borderId="17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Border="1" applyAlignment="1">
      <alignment/>
    </xf>
    <xf numFmtId="3" fontId="0" fillId="34" borderId="18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3" fontId="4" fillId="35" borderId="18" xfId="0" applyNumberFormat="1" applyFont="1" applyFill="1" applyBorder="1" applyAlignment="1">
      <alignment/>
    </xf>
    <xf numFmtId="0" fontId="49" fillId="0" borderId="0" xfId="0" applyFont="1" applyBorder="1" applyAlignment="1">
      <alignment/>
    </xf>
    <xf numFmtId="173" fontId="0" fillId="0" borderId="23" xfId="0" applyNumberFormat="1" applyFont="1" applyBorder="1" applyAlignment="1">
      <alignment/>
    </xf>
    <xf numFmtId="0" fontId="0" fillId="0" borderId="29" xfId="0" applyFont="1" applyBorder="1" applyAlignment="1">
      <alignment horizontal="center"/>
    </xf>
    <xf numFmtId="173" fontId="0" fillId="0" borderId="24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73" fontId="0" fillId="0" borderId="17" xfId="0" applyNumberFormat="1" applyFont="1" applyBorder="1" applyAlignment="1">
      <alignment/>
    </xf>
    <xf numFmtId="173" fontId="0" fillId="0" borderId="3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" fontId="0" fillId="36" borderId="18" xfId="0" applyNumberFormat="1" applyFont="1" applyFill="1" applyBorder="1" applyAlignment="1">
      <alignment horizontal="center"/>
    </xf>
    <xf numFmtId="173" fontId="0" fillId="0" borderId="0" xfId="0" applyNumberFormat="1" applyFont="1" applyAlignment="1">
      <alignment/>
    </xf>
    <xf numFmtId="0" fontId="0" fillId="36" borderId="15" xfId="0" applyFont="1" applyFill="1" applyBorder="1" applyAlignment="1">
      <alignment horizontal="center"/>
    </xf>
    <xf numFmtId="0" fontId="0" fillId="36" borderId="15" xfId="0" applyFont="1" applyFill="1" applyBorder="1" applyAlignment="1">
      <alignment/>
    </xf>
    <xf numFmtId="0" fontId="0" fillId="0" borderId="20" xfId="0" applyFont="1" applyBorder="1" applyAlignment="1">
      <alignment horizontal="right"/>
    </xf>
    <xf numFmtId="173" fontId="0" fillId="0" borderId="21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right"/>
    </xf>
    <xf numFmtId="173" fontId="0" fillId="0" borderId="23" xfId="0" applyNumberFormat="1" applyFont="1" applyBorder="1" applyAlignment="1">
      <alignment horizontal="right"/>
    </xf>
    <xf numFmtId="1" fontId="0" fillId="0" borderId="23" xfId="0" applyNumberFormat="1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1" fontId="0" fillId="0" borderId="11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1" fontId="0" fillId="0" borderId="24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1" fontId="0" fillId="0" borderId="18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173" fontId="0" fillId="0" borderId="31" xfId="0" applyNumberFormat="1" applyFont="1" applyBorder="1" applyAlignment="1">
      <alignment/>
    </xf>
    <xf numFmtId="173" fontId="1" fillId="0" borderId="32" xfId="0" applyNumberFormat="1" applyFont="1" applyBorder="1" applyAlignment="1">
      <alignment/>
    </xf>
    <xf numFmtId="0" fontId="0" fillId="37" borderId="0" xfId="0" applyFont="1" applyFill="1" applyAlignment="1">
      <alignment/>
    </xf>
    <xf numFmtId="173" fontId="0" fillId="37" borderId="0" xfId="0" applyNumberFormat="1" applyFont="1" applyFill="1" applyAlignment="1">
      <alignment/>
    </xf>
    <xf numFmtId="173" fontId="0" fillId="0" borderId="19" xfId="0" applyNumberFormat="1" applyFont="1" applyBorder="1" applyAlignment="1">
      <alignment/>
    </xf>
    <xf numFmtId="173" fontId="0" fillId="0" borderId="28" xfId="0" applyNumberFormat="1" applyFont="1" applyBorder="1" applyAlignment="1">
      <alignment/>
    </xf>
    <xf numFmtId="173" fontId="0" fillId="0" borderId="18" xfId="0" applyNumberFormat="1" applyFont="1" applyBorder="1" applyAlignment="1">
      <alignment/>
    </xf>
    <xf numFmtId="173" fontId="0" fillId="0" borderId="33" xfId="0" applyNumberFormat="1" applyFont="1" applyBorder="1" applyAlignment="1">
      <alignment/>
    </xf>
    <xf numFmtId="173" fontId="0" fillId="0" borderId="34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3" fontId="0" fillId="0" borderId="30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3" fontId="0" fillId="36" borderId="0" xfId="0" applyNumberFormat="1" applyFont="1" applyFill="1" applyBorder="1" applyAlignment="1">
      <alignment/>
    </xf>
    <xf numFmtId="0" fontId="0" fillId="36" borderId="36" xfId="0" applyFont="1" applyFill="1" applyBorder="1" applyAlignment="1">
      <alignment/>
    </xf>
    <xf numFmtId="0" fontId="0" fillId="36" borderId="23" xfId="0" applyFont="1" applyFill="1" applyBorder="1" applyAlignment="1">
      <alignment horizontal="right"/>
    </xf>
    <xf numFmtId="173" fontId="0" fillId="36" borderId="21" xfId="0" applyNumberFormat="1" applyFont="1" applyFill="1" applyBorder="1" applyAlignment="1">
      <alignment horizontal="right"/>
    </xf>
    <xf numFmtId="1" fontId="0" fillId="36" borderId="16" xfId="0" applyNumberFormat="1" applyFont="1" applyFill="1" applyBorder="1" applyAlignment="1">
      <alignment horizontal="right"/>
    </xf>
    <xf numFmtId="173" fontId="0" fillId="36" borderId="23" xfId="0" applyNumberFormat="1" applyFont="1" applyFill="1" applyBorder="1" applyAlignment="1">
      <alignment horizontal="right"/>
    </xf>
    <xf numFmtId="1" fontId="0" fillId="36" borderId="23" xfId="0" applyNumberFormat="1" applyFont="1" applyFill="1" applyBorder="1" applyAlignment="1">
      <alignment horizontal="right"/>
    </xf>
    <xf numFmtId="173" fontId="0" fillId="36" borderId="20" xfId="0" applyNumberFormat="1" applyFont="1" applyFill="1" applyBorder="1" applyAlignment="1">
      <alignment/>
    </xf>
    <xf numFmtId="0" fontId="0" fillId="36" borderId="20" xfId="0" applyFont="1" applyFill="1" applyBorder="1" applyAlignment="1">
      <alignment/>
    </xf>
    <xf numFmtId="173" fontId="1" fillId="36" borderId="20" xfId="0" applyNumberFormat="1" applyFont="1" applyFill="1" applyBorder="1" applyAlignment="1">
      <alignment/>
    </xf>
    <xf numFmtId="173" fontId="0" fillId="36" borderId="16" xfId="0" applyNumberFormat="1" applyFont="1" applyFill="1" applyBorder="1" applyAlignment="1">
      <alignment/>
    </xf>
    <xf numFmtId="173" fontId="0" fillId="36" borderId="25" xfId="0" applyNumberFormat="1" applyFont="1" applyFill="1" applyBorder="1" applyAlignment="1">
      <alignment/>
    </xf>
    <xf numFmtId="173" fontId="0" fillId="36" borderId="21" xfId="0" applyNumberFormat="1" applyFont="1" applyFill="1" applyBorder="1" applyAlignment="1">
      <alignment/>
    </xf>
    <xf numFmtId="173" fontId="0" fillId="36" borderId="31" xfId="0" applyNumberFormat="1" applyFont="1" applyFill="1" applyBorder="1" applyAlignment="1">
      <alignment/>
    </xf>
    <xf numFmtId="0" fontId="0" fillId="36" borderId="12" xfId="0" applyFont="1" applyFill="1" applyBorder="1" applyAlignment="1">
      <alignment horizontal="right"/>
    </xf>
    <xf numFmtId="1" fontId="0" fillId="36" borderId="11" xfId="0" applyNumberFormat="1" applyFont="1" applyFill="1" applyBorder="1" applyAlignment="1">
      <alignment horizontal="right"/>
    </xf>
    <xf numFmtId="0" fontId="0" fillId="36" borderId="11" xfId="0" applyFont="1" applyFill="1" applyBorder="1" applyAlignment="1">
      <alignment/>
    </xf>
    <xf numFmtId="0" fontId="0" fillId="36" borderId="31" xfId="0" applyFont="1" applyFill="1" applyBorder="1" applyAlignment="1">
      <alignment/>
    </xf>
    <xf numFmtId="1" fontId="0" fillId="36" borderId="10" xfId="0" applyNumberFormat="1" applyFont="1" applyFill="1" applyBorder="1" applyAlignment="1">
      <alignment horizontal="right"/>
    </xf>
    <xf numFmtId="0" fontId="0" fillId="36" borderId="10" xfId="0" applyFont="1" applyFill="1" applyBorder="1" applyAlignment="1">
      <alignment/>
    </xf>
    <xf numFmtId="1" fontId="0" fillId="36" borderId="24" xfId="0" applyNumberFormat="1" applyFont="1" applyFill="1" applyBorder="1" applyAlignment="1">
      <alignment horizontal="right"/>
    </xf>
    <xf numFmtId="0" fontId="0" fillId="36" borderId="16" xfId="0" applyFont="1" applyFill="1" applyBorder="1" applyAlignment="1">
      <alignment/>
    </xf>
    <xf numFmtId="173" fontId="1" fillId="36" borderId="23" xfId="0" applyNumberFormat="1" applyFont="1" applyFill="1" applyBorder="1" applyAlignment="1">
      <alignment/>
    </xf>
    <xf numFmtId="1" fontId="0" fillId="36" borderId="18" xfId="0" applyNumberFormat="1" applyFont="1" applyFill="1" applyBorder="1" applyAlignment="1">
      <alignment horizontal="right"/>
    </xf>
    <xf numFmtId="3" fontId="0" fillId="36" borderId="18" xfId="0" applyNumberFormat="1" applyFont="1" applyFill="1" applyBorder="1" applyAlignment="1">
      <alignment/>
    </xf>
    <xf numFmtId="0" fontId="1" fillId="36" borderId="32" xfId="0" applyFont="1" applyFill="1" applyBorder="1" applyAlignment="1">
      <alignment/>
    </xf>
    <xf numFmtId="173" fontId="1" fillId="36" borderId="10" xfId="0" applyNumberFormat="1" applyFont="1" applyFill="1" applyBorder="1" applyAlignment="1">
      <alignment/>
    </xf>
    <xf numFmtId="173" fontId="1" fillId="36" borderId="16" xfId="0" applyNumberFormat="1" applyFont="1" applyFill="1" applyBorder="1" applyAlignment="1">
      <alignment/>
    </xf>
    <xf numFmtId="0" fontId="1" fillId="36" borderId="16" xfId="0" applyFont="1" applyFill="1" applyBorder="1" applyAlignment="1">
      <alignment/>
    </xf>
    <xf numFmtId="3" fontId="1" fillId="36" borderId="35" xfId="0" applyNumberFormat="1" applyFont="1" applyFill="1" applyBorder="1" applyAlignment="1">
      <alignment horizontal="center"/>
    </xf>
    <xf numFmtId="1" fontId="1" fillId="36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1" fontId="0" fillId="36" borderId="16" xfId="0" applyNumberFormat="1" applyFont="1" applyFill="1" applyBorder="1" applyAlignment="1">
      <alignment/>
    </xf>
    <xf numFmtId="1" fontId="0" fillId="36" borderId="25" xfId="0" applyNumberFormat="1" applyFont="1" applyFill="1" applyBorder="1" applyAlignment="1">
      <alignment/>
    </xf>
    <xf numFmtId="0" fontId="1" fillId="36" borderId="23" xfId="0" applyFont="1" applyFill="1" applyBorder="1" applyAlignment="1">
      <alignment horizontal="right"/>
    </xf>
    <xf numFmtId="173" fontId="1" fillId="36" borderId="0" xfId="0" applyNumberFormat="1" applyFont="1" applyFill="1" applyBorder="1" applyAlignment="1">
      <alignment/>
    </xf>
    <xf numFmtId="173" fontId="1" fillId="36" borderId="23" xfId="0" applyNumberFormat="1" applyFont="1" applyFill="1" applyBorder="1" applyAlignment="1">
      <alignment horizontal="right"/>
    </xf>
    <xf numFmtId="0" fontId="0" fillId="36" borderId="0" xfId="0" applyFont="1" applyFill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0" fillId="36" borderId="0" xfId="0" applyFont="1" applyFill="1" applyAlignment="1">
      <alignment horizontal="center"/>
    </xf>
    <xf numFmtId="0" fontId="10" fillId="36" borderId="0" xfId="0" applyFont="1" applyFill="1" applyAlignment="1">
      <alignment/>
    </xf>
    <xf numFmtId="0" fontId="10" fillId="36" borderId="0" xfId="0" applyFont="1" applyFill="1" applyBorder="1" applyAlignment="1">
      <alignment/>
    </xf>
    <xf numFmtId="0" fontId="10" fillId="36" borderId="36" xfId="0" applyFont="1" applyFill="1" applyBorder="1" applyAlignment="1">
      <alignment/>
    </xf>
    <xf numFmtId="0" fontId="10" fillId="36" borderId="23" xfId="0" applyFont="1" applyFill="1" applyBorder="1" applyAlignment="1">
      <alignment horizontal="right"/>
    </xf>
    <xf numFmtId="173" fontId="10" fillId="36" borderId="21" xfId="0" applyNumberFormat="1" applyFont="1" applyFill="1" applyBorder="1" applyAlignment="1">
      <alignment horizontal="right"/>
    </xf>
    <xf numFmtId="1" fontId="10" fillId="36" borderId="16" xfId="0" applyNumberFormat="1" applyFont="1" applyFill="1" applyBorder="1" applyAlignment="1">
      <alignment horizontal="right"/>
    </xf>
    <xf numFmtId="173" fontId="10" fillId="36" borderId="23" xfId="0" applyNumberFormat="1" applyFont="1" applyFill="1" applyBorder="1" applyAlignment="1">
      <alignment horizontal="right"/>
    </xf>
    <xf numFmtId="1" fontId="10" fillId="36" borderId="23" xfId="0" applyNumberFormat="1" applyFont="1" applyFill="1" applyBorder="1" applyAlignment="1">
      <alignment horizontal="right"/>
    </xf>
    <xf numFmtId="173" fontId="10" fillId="36" borderId="20" xfId="0" applyNumberFormat="1" applyFont="1" applyFill="1" applyBorder="1" applyAlignment="1">
      <alignment/>
    </xf>
    <xf numFmtId="1" fontId="10" fillId="36" borderId="20" xfId="0" applyNumberFormat="1" applyFont="1" applyFill="1" applyBorder="1" applyAlignment="1">
      <alignment/>
    </xf>
    <xf numFmtId="173" fontId="10" fillId="36" borderId="18" xfId="0" applyNumberFormat="1" applyFont="1" applyFill="1" applyBorder="1" applyAlignment="1">
      <alignment/>
    </xf>
    <xf numFmtId="0" fontId="10" fillId="36" borderId="20" xfId="0" applyFont="1" applyFill="1" applyBorder="1" applyAlignment="1">
      <alignment/>
    </xf>
    <xf numFmtId="173" fontId="11" fillId="36" borderId="20" xfId="0" applyNumberFormat="1" applyFont="1" applyFill="1" applyBorder="1" applyAlignment="1">
      <alignment/>
    </xf>
    <xf numFmtId="173" fontId="10" fillId="36" borderId="16" xfId="0" applyNumberFormat="1" applyFont="1" applyFill="1" applyBorder="1" applyAlignment="1">
      <alignment/>
    </xf>
    <xf numFmtId="0" fontId="10" fillId="36" borderId="15" xfId="0" applyFont="1" applyFill="1" applyBorder="1" applyAlignment="1">
      <alignment/>
    </xf>
    <xf numFmtId="0" fontId="10" fillId="36" borderId="12" xfId="0" applyFont="1" applyFill="1" applyBorder="1" applyAlignment="1">
      <alignment horizontal="right"/>
    </xf>
    <xf numFmtId="1" fontId="10" fillId="36" borderId="11" xfId="0" applyNumberFormat="1" applyFont="1" applyFill="1" applyBorder="1" applyAlignment="1">
      <alignment horizontal="right"/>
    </xf>
    <xf numFmtId="1" fontId="10" fillId="36" borderId="14" xfId="0" applyNumberFormat="1" applyFont="1" applyFill="1" applyBorder="1" applyAlignment="1">
      <alignment/>
    </xf>
    <xf numFmtId="0" fontId="10" fillId="36" borderId="11" xfId="0" applyFont="1" applyFill="1" applyBorder="1" applyAlignment="1">
      <alignment/>
    </xf>
    <xf numFmtId="0" fontId="10" fillId="36" borderId="31" xfId="0" applyFont="1" applyFill="1" applyBorder="1" applyAlignment="1">
      <alignment/>
    </xf>
    <xf numFmtId="1" fontId="10" fillId="36" borderId="10" xfId="0" applyNumberFormat="1" applyFont="1" applyFill="1" applyBorder="1" applyAlignment="1">
      <alignment horizontal="right"/>
    </xf>
    <xf numFmtId="1" fontId="10" fillId="36" borderId="25" xfId="0" applyNumberFormat="1" applyFont="1" applyFill="1" applyBorder="1" applyAlignment="1">
      <alignment/>
    </xf>
    <xf numFmtId="0" fontId="10" fillId="36" borderId="10" xfId="0" applyFont="1" applyFill="1" applyBorder="1" applyAlignment="1">
      <alignment/>
    </xf>
    <xf numFmtId="1" fontId="10" fillId="36" borderId="24" xfId="0" applyNumberFormat="1" applyFont="1" applyFill="1" applyBorder="1" applyAlignment="1">
      <alignment horizontal="right"/>
    </xf>
    <xf numFmtId="0" fontId="10" fillId="36" borderId="16" xfId="0" applyFont="1" applyFill="1" applyBorder="1" applyAlignment="1">
      <alignment/>
    </xf>
    <xf numFmtId="1" fontId="10" fillId="36" borderId="18" xfId="0" applyNumberFormat="1" applyFont="1" applyFill="1" applyBorder="1" applyAlignment="1">
      <alignment horizontal="right"/>
    </xf>
    <xf numFmtId="3" fontId="10" fillId="36" borderId="18" xfId="0" applyNumberFormat="1" applyFont="1" applyFill="1" applyBorder="1" applyAlignment="1">
      <alignment/>
    </xf>
    <xf numFmtId="1" fontId="10" fillId="36" borderId="18" xfId="0" applyNumberFormat="1" applyFont="1" applyFill="1" applyBorder="1" applyAlignment="1">
      <alignment/>
    </xf>
    <xf numFmtId="0" fontId="11" fillId="36" borderId="32" xfId="0" applyFont="1" applyFill="1" applyBorder="1" applyAlignment="1">
      <alignment/>
    </xf>
    <xf numFmtId="0" fontId="11" fillId="36" borderId="23" xfId="0" applyFont="1" applyFill="1" applyBorder="1" applyAlignment="1">
      <alignment horizontal="right"/>
    </xf>
    <xf numFmtId="173" fontId="11" fillId="36" borderId="23" xfId="0" applyNumberFormat="1" applyFont="1" applyFill="1" applyBorder="1" applyAlignment="1">
      <alignment horizontal="right"/>
    </xf>
    <xf numFmtId="173" fontId="11" fillId="36" borderId="10" xfId="0" applyNumberFormat="1" applyFont="1" applyFill="1" applyBorder="1" applyAlignment="1">
      <alignment/>
    </xf>
    <xf numFmtId="0" fontId="11" fillId="36" borderId="16" xfId="0" applyFont="1" applyFill="1" applyBorder="1" applyAlignment="1">
      <alignment/>
    </xf>
    <xf numFmtId="3" fontId="11" fillId="36" borderId="35" xfId="0" applyNumberFormat="1" applyFont="1" applyFill="1" applyBorder="1" applyAlignment="1">
      <alignment horizontal="center"/>
    </xf>
    <xf numFmtId="173" fontId="11" fillId="36" borderId="16" xfId="0" applyNumberFormat="1" applyFont="1" applyFill="1" applyBorder="1" applyAlignment="1">
      <alignment/>
    </xf>
    <xf numFmtId="1" fontId="11" fillId="36" borderId="16" xfId="0" applyNumberFormat="1" applyFont="1" applyFill="1" applyBorder="1" applyAlignment="1">
      <alignment/>
    </xf>
    <xf numFmtId="3" fontId="11" fillId="36" borderId="16" xfId="0" applyNumberFormat="1" applyFont="1" applyFill="1" applyBorder="1" applyAlignment="1">
      <alignment/>
    </xf>
    <xf numFmtId="1" fontId="10" fillId="36" borderId="16" xfId="0" applyNumberFormat="1" applyFont="1" applyFill="1" applyBorder="1" applyAlignment="1">
      <alignment/>
    </xf>
    <xf numFmtId="0" fontId="10" fillId="36" borderId="31" xfId="0" applyFont="1" applyFill="1" applyBorder="1" applyAlignment="1">
      <alignment wrapText="1"/>
    </xf>
    <xf numFmtId="0" fontId="12" fillId="36" borderId="0" xfId="0" applyFont="1" applyFill="1" applyAlignment="1">
      <alignment/>
    </xf>
    <xf numFmtId="0" fontId="1" fillId="0" borderId="37" xfId="0" applyFont="1" applyBorder="1" applyAlignment="1">
      <alignment horizontal="center" textRotation="90" wrapText="1"/>
    </xf>
    <xf numFmtId="0" fontId="1" fillId="0" borderId="38" xfId="0" applyFont="1" applyBorder="1" applyAlignment="1">
      <alignment horizontal="center" textRotation="90" wrapText="1"/>
    </xf>
    <xf numFmtId="0" fontId="1" fillId="0" borderId="39" xfId="0" applyFont="1" applyBorder="1" applyAlignment="1">
      <alignment horizontal="center" textRotation="90" wrapText="1"/>
    </xf>
    <xf numFmtId="0" fontId="0" fillId="0" borderId="10" xfId="0" applyFont="1" applyBorder="1" applyAlignment="1">
      <alignment horizontal="center" textRotation="90" wrapText="1"/>
    </xf>
    <xf numFmtId="0" fontId="0" fillId="0" borderId="11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1" fillId="0" borderId="40" xfId="0" applyFont="1" applyBorder="1" applyAlignment="1">
      <alignment horizontal="center" textRotation="90" wrapText="1"/>
    </xf>
    <xf numFmtId="0" fontId="1" fillId="0" borderId="41" xfId="0" applyFont="1" applyBorder="1" applyAlignment="1">
      <alignment horizontal="center" textRotation="90" wrapText="1"/>
    </xf>
    <xf numFmtId="0" fontId="1" fillId="0" borderId="42" xfId="0" applyFont="1" applyBorder="1" applyAlignment="1">
      <alignment horizontal="center" textRotation="90" wrapText="1"/>
    </xf>
    <xf numFmtId="0" fontId="1" fillId="0" borderId="22" xfId="0" applyFont="1" applyBorder="1" applyAlignment="1">
      <alignment horizontal="center" textRotation="90"/>
    </xf>
    <xf numFmtId="0" fontId="1" fillId="0" borderId="15" xfId="0" applyFont="1" applyBorder="1" applyAlignment="1">
      <alignment horizontal="center" textRotation="90"/>
    </xf>
    <xf numFmtId="0" fontId="1" fillId="0" borderId="19" xfId="0" applyFont="1" applyBorder="1" applyAlignment="1">
      <alignment horizontal="center" textRotation="90"/>
    </xf>
    <xf numFmtId="0" fontId="0" fillId="0" borderId="17" xfId="0" applyFont="1" applyFill="1" applyBorder="1" applyAlignment="1">
      <alignment horizontal="center" textRotation="90" wrapText="1"/>
    </xf>
    <xf numFmtId="0" fontId="0" fillId="0" borderId="12" xfId="0" applyFont="1" applyFill="1" applyBorder="1" applyAlignment="1">
      <alignment horizontal="center" textRotation="90" wrapText="1"/>
    </xf>
    <xf numFmtId="0" fontId="0" fillId="0" borderId="30" xfId="0" applyFont="1" applyFill="1" applyBorder="1" applyAlignment="1">
      <alignment horizontal="center" textRotation="90" wrapText="1"/>
    </xf>
    <xf numFmtId="0" fontId="0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textRotation="90" wrapText="1"/>
    </xf>
    <xf numFmtId="0" fontId="0" fillId="0" borderId="27" xfId="0" applyFont="1" applyBorder="1" applyAlignment="1">
      <alignment horizontal="center" textRotation="90" wrapText="1"/>
    </xf>
    <xf numFmtId="0" fontId="0" fillId="0" borderId="28" xfId="0" applyFont="1" applyBorder="1" applyAlignment="1">
      <alignment horizontal="center" textRotation="90" wrapText="1"/>
    </xf>
    <xf numFmtId="0" fontId="0" fillId="0" borderId="29" xfId="0" applyFont="1" applyBorder="1" applyAlignment="1">
      <alignment horizontal="center" textRotation="90" wrapText="1"/>
    </xf>
    <xf numFmtId="0" fontId="0" fillId="0" borderId="0" xfId="0" applyFont="1" applyBorder="1" applyAlignment="1">
      <alignment horizontal="center" textRotation="90" wrapText="1"/>
    </xf>
    <xf numFmtId="0" fontId="0" fillId="0" borderId="43" xfId="0" applyFont="1" applyBorder="1" applyAlignment="1">
      <alignment horizontal="center" textRotation="90" wrapText="1"/>
    </xf>
    <xf numFmtId="0" fontId="7" fillId="36" borderId="0" xfId="0" applyFont="1" applyFill="1" applyAlignment="1">
      <alignment horizontal="right"/>
    </xf>
    <xf numFmtId="0" fontId="0" fillId="36" borderId="0" xfId="0" applyFont="1" applyFill="1" applyAlignment="1">
      <alignment horizontal="center"/>
    </xf>
    <xf numFmtId="0" fontId="0" fillId="36" borderId="26" xfId="0" applyFont="1" applyFill="1" applyBorder="1" applyAlignment="1">
      <alignment horizontal="center" textRotation="90" wrapText="1"/>
    </xf>
    <xf numFmtId="0" fontId="0" fillId="36" borderId="27" xfId="0" applyFont="1" applyFill="1" applyBorder="1" applyAlignment="1">
      <alignment horizontal="center" textRotation="90" wrapText="1"/>
    </xf>
    <xf numFmtId="0" fontId="0" fillId="36" borderId="28" xfId="0" applyFont="1" applyFill="1" applyBorder="1" applyAlignment="1">
      <alignment horizontal="center" textRotation="90" wrapText="1"/>
    </xf>
    <xf numFmtId="0" fontId="1" fillId="36" borderId="22" xfId="0" applyFont="1" applyFill="1" applyBorder="1" applyAlignment="1">
      <alignment horizontal="center" textRotation="90" wrapText="1"/>
    </xf>
    <xf numFmtId="0" fontId="1" fillId="36" borderId="15" xfId="0" applyFont="1" applyFill="1" applyBorder="1" applyAlignment="1">
      <alignment horizontal="center" textRotation="90" wrapText="1"/>
    </xf>
    <xf numFmtId="0" fontId="1" fillId="36" borderId="19" xfId="0" applyFont="1" applyFill="1" applyBorder="1" applyAlignment="1">
      <alignment horizontal="center" textRotation="90" wrapText="1"/>
    </xf>
    <xf numFmtId="0" fontId="0" fillId="36" borderId="17" xfId="0" applyFont="1" applyFill="1" applyBorder="1" applyAlignment="1">
      <alignment horizontal="center" textRotation="90" wrapText="1"/>
    </xf>
    <xf numFmtId="0" fontId="0" fillId="36" borderId="12" xfId="0" applyFont="1" applyFill="1" applyBorder="1" applyAlignment="1">
      <alignment horizontal="center" textRotation="90" wrapText="1"/>
    </xf>
    <xf numFmtId="0" fontId="0" fillId="36" borderId="30" xfId="0" applyFont="1" applyFill="1" applyBorder="1" applyAlignment="1">
      <alignment horizontal="center" textRotation="90" wrapText="1"/>
    </xf>
    <xf numFmtId="0" fontId="1" fillId="36" borderId="37" xfId="0" applyFont="1" applyFill="1" applyBorder="1" applyAlignment="1">
      <alignment horizontal="center" textRotation="90" wrapText="1"/>
    </xf>
    <xf numFmtId="0" fontId="1" fillId="36" borderId="38" xfId="0" applyFont="1" applyFill="1" applyBorder="1" applyAlignment="1">
      <alignment horizontal="center" textRotation="90" wrapText="1"/>
    </xf>
    <xf numFmtId="0" fontId="1" fillId="36" borderId="39" xfId="0" applyFont="1" applyFill="1" applyBorder="1" applyAlignment="1">
      <alignment horizontal="center" textRotation="90" wrapText="1"/>
    </xf>
    <xf numFmtId="0" fontId="8" fillId="36" borderId="0" xfId="0" applyFont="1" applyFill="1" applyAlignment="1">
      <alignment horizontal="right"/>
    </xf>
    <xf numFmtId="0" fontId="0" fillId="36" borderId="29" xfId="0" applyFont="1" applyFill="1" applyBorder="1" applyAlignment="1">
      <alignment horizontal="center" textRotation="90" wrapText="1"/>
    </xf>
    <xf numFmtId="0" fontId="0" fillId="36" borderId="0" xfId="0" applyFont="1" applyFill="1" applyBorder="1" applyAlignment="1">
      <alignment horizontal="center" textRotation="90" wrapText="1"/>
    </xf>
    <xf numFmtId="0" fontId="0" fillId="36" borderId="43" xfId="0" applyFont="1" applyFill="1" applyBorder="1" applyAlignment="1">
      <alignment horizontal="center" textRotation="90" wrapText="1"/>
    </xf>
    <xf numFmtId="0" fontId="0" fillId="36" borderId="22" xfId="0" applyFont="1" applyFill="1" applyBorder="1" applyAlignment="1">
      <alignment horizontal="center" vertical="center" wrapText="1"/>
    </xf>
    <xf numFmtId="0" fontId="0" fillId="36" borderId="15" xfId="0" applyFont="1" applyFill="1" applyBorder="1" applyAlignment="1">
      <alignment horizontal="center" vertical="center" wrapText="1"/>
    </xf>
    <xf numFmtId="0" fontId="0" fillId="36" borderId="19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textRotation="90" wrapText="1"/>
    </xf>
    <xf numFmtId="0" fontId="0" fillId="36" borderId="11" xfId="0" applyFont="1" applyFill="1" applyBorder="1" applyAlignment="1">
      <alignment horizontal="center" textRotation="90" wrapText="1"/>
    </xf>
    <xf numFmtId="0" fontId="0" fillId="36" borderId="18" xfId="0" applyFont="1" applyFill="1" applyBorder="1" applyAlignment="1">
      <alignment horizontal="center" textRotation="90" wrapText="1"/>
    </xf>
    <xf numFmtId="0" fontId="1" fillId="36" borderId="40" xfId="0" applyFont="1" applyFill="1" applyBorder="1" applyAlignment="1">
      <alignment horizontal="center" textRotation="90" wrapText="1"/>
    </xf>
    <xf numFmtId="0" fontId="1" fillId="36" borderId="41" xfId="0" applyFont="1" applyFill="1" applyBorder="1" applyAlignment="1">
      <alignment horizontal="center" textRotation="90" wrapText="1"/>
    </xf>
    <xf numFmtId="0" fontId="1" fillId="36" borderId="42" xfId="0" applyFont="1" applyFill="1" applyBorder="1" applyAlignment="1">
      <alignment horizontal="center" textRotation="90" wrapText="1"/>
    </xf>
    <xf numFmtId="0" fontId="11" fillId="36" borderId="22" xfId="0" applyFont="1" applyFill="1" applyBorder="1" applyAlignment="1">
      <alignment horizontal="center" textRotation="90" wrapText="1"/>
    </xf>
    <xf numFmtId="0" fontId="11" fillId="36" borderId="15" xfId="0" applyFont="1" applyFill="1" applyBorder="1" applyAlignment="1">
      <alignment horizontal="center" textRotation="90" wrapText="1"/>
    </xf>
    <xf numFmtId="0" fontId="11" fillId="36" borderId="19" xfId="0" applyFont="1" applyFill="1" applyBorder="1" applyAlignment="1">
      <alignment horizontal="center" textRotation="90" wrapText="1"/>
    </xf>
    <xf numFmtId="0" fontId="11" fillId="36" borderId="37" xfId="0" applyFont="1" applyFill="1" applyBorder="1" applyAlignment="1">
      <alignment horizontal="center" textRotation="90" wrapText="1"/>
    </xf>
    <xf numFmtId="0" fontId="11" fillId="36" borderId="38" xfId="0" applyFont="1" applyFill="1" applyBorder="1" applyAlignment="1">
      <alignment horizontal="center" textRotation="90" wrapText="1"/>
    </xf>
    <xf numFmtId="0" fontId="11" fillId="36" borderId="39" xfId="0" applyFont="1" applyFill="1" applyBorder="1" applyAlignment="1">
      <alignment horizontal="center" textRotation="90" wrapText="1"/>
    </xf>
    <xf numFmtId="0" fontId="10" fillId="36" borderId="10" xfId="0" applyFont="1" applyFill="1" applyBorder="1" applyAlignment="1">
      <alignment horizontal="center" textRotation="90" wrapText="1"/>
    </xf>
    <xf numFmtId="0" fontId="10" fillId="36" borderId="11" xfId="0" applyFont="1" applyFill="1" applyBorder="1" applyAlignment="1">
      <alignment horizontal="center" textRotation="90" wrapText="1"/>
    </xf>
    <xf numFmtId="0" fontId="10" fillId="36" borderId="18" xfId="0" applyFont="1" applyFill="1" applyBorder="1" applyAlignment="1">
      <alignment horizontal="center" textRotation="90" wrapText="1"/>
    </xf>
    <xf numFmtId="0" fontId="11" fillId="36" borderId="40" xfId="0" applyFont="1" applyFill="1" applyBorder="1" applyAlignment="1">
      <alignment horizontal="center" textRotation="90" wrapText="1"/>
    </xf>
    <xf numFmtId="0" fontId="11" fillId="36" borderId="41" xfId="0" applyFont="1" applyFill="1" applyBorder="1" applyAlignment="1">
      <alignment horizontal="center" textRotation="90" wrapText="1"/>
    </xf>
    <xf numFmtId="0" fontId="11" fillId="36" borderId="42" xfId="0" applyFont="1" applyFill="1" applyBorder="1" applyAlignment="1">
      <alignment horizontal="center" textRotation="90" wrapText="1"/>
    </xf>
    <xf numFmtId="0" fontId="10" fillId="36" borderId="44" xfId="0" applyFont="1" applyFill="1" applyBorder="1" applyAlignment="1">
      <alignment horizontal="center" textRotation="90" wrapText="1"/>
    </xf>
    <xf numFmtId="0" fontId="10" fillId="36" borderId="45" xfId="0" applyFont="1" applyFill="1" applyBorder="1" applyAlignment="1">
      <alignment horizontal="center" textRotation="90" wrapText="1"/>
    </xf>
    <xf numFmtId="0" fontId="10" fillId="36" borderId="46" xfId="0" applyFont="1" applyFill="1" applyBorder="1" applyAlignment="1">
      <alignment horizontal="center" textRotation="90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15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textRotation="90" wrapText="1"/>
    </xf>
    <xf numFmtId="0" fontId="10" fillId="36" borderId="12" xfId="0" applyFont="1" applyFill="1" applyBorder="1" applyAlignment="1">
      <alignment horizontal="center" textRotation="90" wrapText="1"/>
    </xf>
    <xf numFmtId="0" fontId="10" fillId="36" borderId="30" xfId="0" applyFont="1" applyFill="1" applyBorder="1" applyAlignment="1">
      <alignment horizontal="center" textRotation="90" wrapText="1"/>
    </xf>
    <xf numFmtId="0" fontId="10" fillId="36" borderId="26" xfId="0" applyFont="1" applyFill="1" applyBorder="1" applyAlignment="1">
      <alignment horizontal="center" textRotation="90" wrapText="1"/>
    </xf>
    <xf numFmtId="0" fontId="10" fillId="36" borderId="27" xfId="0" applyFont="1" applyFill="1" applyBorder="1" applyAlignment="1">
      <alignment horizontal="center" textRotation="90" wrapText="1"/>
    </xf>
    <xf numFmtId="0" fontId="10" fillId="36" borderId="28" xfId="0" applyFont="1" applyFill="1" applyBorder="1" applyAlignment="1">
      <alignment horizontal="center" textRotation="90" wrapText="1"/>
    </xf>
    <xf numFmtId="0" fontId="10" fillId="36" borderId="29" xfId="0" applyFont="1" applyFill="1" applyBorder="1" applyAlignment="1">
      <alignment horizontal="center" textRotation="90" wrapText="1"/>
    </xf>
    <xf numFmtId="0" fontId="10" fillId="36" borderId="0" xfId="0" applyFont="1" applyFill="1" applyBorder="1" applyAlignment="1">
      <alignment horizontal="center" textRotation="90" wrapText="1"/>
    </xf>
    <xf numFmtId="0" fontId="10" fillId="36" borderId="43" xfId="0" applyFont="1" applyFill="1" applyBorder="1" applyAlignment="1">
      <alignment horizontal="center" textRotation="90" wrapText="1"/>
    </xf>
    <xf numFmtId="0" fontId="10" fillId="36" borderId="0" xfId="0" applyFont="1" applyFill="1" applyAlignment="1">
      <alignment horizontal="right"/>
    </xf>
    <xf numFmtId="0" fontId="10" fillId="36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185"/>
          <c:w val="0.97525"/>
          <c:h val="0.963"/>
        </c:manualLayout>
      </c:layout>
      <c:barChart>
        <c:barDir val="col"/>
        <c:grouping val="clustered"/>
        <c:varyColors val="0"/>
        <c:axId val="45395889"/>
        <c:axId val="5909818"/>
      </c:barChart>
      <c:catAx>
        <c:axId val="4539588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09818"/>
        <c:crosses val="autoZero"/>
        <c:auto val="1"/>
        <c:lblOffset val="100"/>
        <c:tickLblSkip val="1"/>
        <c:noMultiLvlLbl val="0"/>
      </c:catAx>
      <c:valAx>
        <c:axId val="590981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395889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10</xdr:col>
      <xdr:colOff>447675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342900" y="180975"/>
        <a:ext cx="78200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4" zoomScaleNormal="94"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53"/>
  <sheetViews>
    <sheetView tabSelected="1" zoomScale="80" zoomScaleNormal="80" zoomScalePageLayoutView="0" workbookViewId="0" topLeftCell="A1">
      <selection activeCell="W9" sqref="W9"/>
    </sheetView>
  </sheetViews>
  <sheetFormatPr defaultColWidth="9.140625" defaultRowHeight="12.75"/>
  <cols>
    <col min="1" max="1" width="36.00390625" style="0" customWidth="1"/>
    <col min="2" max="2" width="8.140625" style="0" customWidth="1"/>
    <col min="4" max="4" width="11.7109375" style="0" customWidth="1"/>
    <col min="5" max="5" width="9.28125" style="0" customWidth="1"/>
    <col min="6" max="6" width="11.28125" style="0" customWidth="1"/>
    <col min="7" max="7" width="8.57421875" style="0" customWidth="1"/>
    <col min="8" max="8" width="10.421875" style="0" customWidth="1"/>
    <col min="9" max="9" width="9.140625" style="0" customWidth="1"/>
    <col min="10" max="10" width="7.57421875" style="0" customWidth="1"/>
    <col min="11" max="11" width="8.28125" style="0" customWidth="1"/>
    <col min="13" max="21" width="7.140625" style="0" customWidth="1"/>
  </cols>
  <sheetData>
    <row r="1" spans="1:21" ht="15">
      <c r="A1" s="176"/>
      <c r="B1" s="176"/>
      <c r="C1" s="176"/>
      <c r="D1" s="176"/>
      <c r="E1" s="176"/>
      <c r="F1" s="176"/>
      <c r="G1" s="176"/>
      <c r="H1" s="176"/>
      <c r="I1" s="176"/>
      <c r="J1" s="177"/>
      <c r="K1" s="176"/>
      <c r="L1" s="176"/>
      <c r="M1" s="176"/>
      <c r="N1" s="176"/>
      <c r="O1" s="259"/>
      <c r="P1" s="338" t="s">
        <v>152</v>
      </c>
      <c r="Q1" s="338"/>
      <c r="R1" s="338"/>
      <c r="S1" s="338"/>
      <c r="T1" s="338"/>
      <c r="U1" s="338"/>
    </row>
    <row r="2" spans="1:21" ht="15">
      <c r="A2" s="176"/>
      <c r="B2" s="176"/>
      <c r="C2" s="176"/>
      <c r="D2" s="176"/>
      <c r="E2" s="176"/>
      <c r="F2" s="176"/>
      <c r="G2" s="176"/>
      <c r="H2" s="176"/>
      <c r="I2" s="176"/>
      <c r="J2" s="177"/>
      <c r="K2" s="176"/>
      <c r="L2" s="176"/>
      <c r="M2" s="176"/>
      <c r="N2" s="176"/>
      <c r="O2" s="259"/>
      <c r="P2" s="338" t="s">
        <v>186</v>
      </c>
      <c r="Q2" s="338"/>
      <c r="R2" s="338"/>
      <c r="S2" s="338"/>
      <c r="T2" s="338"/>
      <c r="U2" s="338"/>
    </row>
    <row r="3" spans="1:21" ht="15">
      <c r="A3" s="176"/>
      <c r="B3" s="176"/>
      <c r="C3" s="176"/>
      <c r="D3" s="176"/>
      <c r="E3" s="176"/>
      <c r="F3" s="176"/>
      <c r="G3" s="176"/>
      <c r="H3" s="176"/>
      <c r="I3" s="176"/>
      <c r="J3" s="177"/>
      <c r="K3" s="176"/>
      <c r="L3" s="176"/>
      <c r="M3" s="176"/>
      <c r="N3" s="176"/>
      <c r="O3" s="338" t="s">
        <v>187</v>
      </c>
      <c r="P3" s="338"/>
      <c r="Q3" s="338"/>
      <c r="R3" s="338"/>
      <c r="S3" s="338"/>
      <c r="T3" s="338"/>
      <c r="U3" s="338"/>
    </row>
    <row r="4" spans="1:21" ht="15">
      <c r="A4" s="176"/>
      <c r="B4" s="176"/>
      <c r="C4" s="176"/>
      <c r="D4" s="177"/>
      <c r="E4" s="177"/>
      <c r="F4" s="177"/>
      <c r="G4" s="177"/>
      <c r="H4" s="177"/>
      <c r="I4" s="177"/>
      <c r="J4" s="177"/>
      <c r="K4" s="176"/>
      <c r="L4" s="176"/>
      <c r="M4" s="176"/>
      <c r="N4" s="176"/>
      <c r="O4" s="338" t="s">
        <v>226</v>
      </c>
      <c r="P4" s="338"/>
      <c r="Q4" s="338"/>
      <c r="R4" s="338"/>
      <c r="S4" s="338"/>
      <c r="T4" s="338"/>
      <c r="U4" s="338"/>
    </row>
    <row r="5" spans="1:21" ht="14.25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259"/>
      <c r="P5" s="259"/>
      <c r="Q5" s="259"/>
      <c r="R5" s="259"/>
      <c r="S5" s="259"/>
      <c r="T5" s="259"/>
      <c r="U5" s="259"/>
    </row>
    <row r="6" spans="1:21" ht="12.75">
      <c r="A6" s="178"/>
      <c r="B6" s="179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7"/>
      <c r="O6" s="177"/>
      <c r="P6" s="177"/>
      <c r="Q6" s="177"/>
      <c r="R6" s="176"/>
      <c r="S6" s="176"/>
      <c r="T6" s="176"/>
      <c r="U6" s="176"/>
    </row>
    <row r="7" spans="1:21" ht="15">
      <c r="A7" s="339" t="s">
        <v>66</v>
      </c>
      <c r="B7" s="339"/>
      <c r="C7" s="339"/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39"/>
    </row>
    <row r="8" spans="1:21" ht="15.75">
      <c r="A8" s="339" t="s">
        <v>209</v>
      </c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39"/>
    </row>
    <row r="9" spans="1:21" ht="15">
      <c r="A9" s="219"/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20"/>
      <c r="M9" s="221"/>
      <c r="N9" s="221"/>
      <c r="O9" s="221"/>
      <c r="P9" s="221"/>
      <c r="Q9" s="221"/>
      <c r="R9" s="221"/>
      <c r="S9" s="221"/>
      <c r="T9" s="221"/>
      <c r="U9" s="221"/>
    </row>
    <row r="10" spans="1:21" ht="15">
      <c r="A10" s="220"/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1"/>
      <c r="N10" s="221"/>
      <c r="O10" s="221"/>
      <c r="P10" s="221"/>
      <c r="Q10" s="221"/>
      <c r="R10" s="221"/>
      <c r="S10" s="221"/>
      <c r="T10" s="221"/>
      <c r="U10" s="221"/>
    </row>
    <row r="11" spans="1:21" ht="12.75" customHeight="1">
      <c r="A11" s="326" t="s">
        <v>137</v>
      </c>
      <c r="B11" s="329" t="s">
        <v>210</v>
      </c>
      <c r="C11" s="314" t="s">
        <v>212</v>
      </c>
      <c r="D11" s="332" t="s">
        <v>206</v>
      </c>
      <c r="E11" s="314" t="s">
        <v>213</v>
      </c>
      <c r="F11" s="335" t="s">
        <v>207</v>
      </c>
      <c r="G11" s="314" t="s">
        <v>213</v>
      </c>
      <c r="H11" s="323" t="s">
        <v>225</v>
      </c>
      <c r="I11" s="314" t="s">
        <v>213</v>
      </c>
      <c r="J11" s="317" t="s">
        <v>223</v>
      </c>
      <c r="K11" s="314" t="s">
        <v>213</v>
      </c>
      <c r="L11" s="320" t="s">
        <v>224</v>
      </c>
      <c r="M11" s="311" t="s">
        <v>214</v>
      </c>
      <c r="N11" s="311" t="s">
        <v>215</v>
      </c>
      <c r="O11" s="311" t="s">
        <v>216</v>
      </c>
      <c r="P11" s="311" t="s">
        <v>217</v>
      </c>
      <c r="Q11" s="311" t="s">
        <v>218</v>
      </c>
      <c r="R11" s="311" t="s">
        <v>219</v>
      </c>
      <c r="S11" s="311" t="s">
        <v>220</v>
      </c>
      <c r="T11" s="311" t="s">
        <v>221</v>
      </c>
      <c r="U11" s="311" t="s">
        <v>222</v>
      </c>
    </row>
    <row r="12" spans="1:21" ht="12.75">
      <c r="A12" s="327"/>
      <c r="B12" s="330"/>
      <c r="C12" s="315"/>
      <c r="D12" s="333"/>
      <c r="E12" s="315"/>
      <c r="F12" s="336"/>
      <c r="G12" s="315"/>
      <c r="H12" s="324"/>
      <c r="I12" s="315"/>
      <c r="J12" s="318"/>
      <c r="K12" s="315"/>
      <c r="L12" s="321"/>
      <c r="M12" s="312"/>
      <c r="N12" s="312"/>
      <c r="O12" s="312"/>
      <c r="P12" s="312"/>
      <c r="Q12" s="312"/>
      <c r="R12" s="312"/>
      <c r="S12" s="312"/>
      <c r="T12" s="312"/>
      <c r="U12" s="312"/>
    </row>
    <row r="13" spans="1:21" ht="12.75">
      <c r="A13" s="327"/>
      <c r="B13" s="330"/>
      <c r="C13" s="315"/>
      <c r="D13" s="333"/>
      <c r="E13" s="315"/>
      <c r="F13" s="336"/>
      <c r="G13" s="315"/>
      <c r="H13" s="324"/>
      <c r="I13" s="315"/>
      <c r="J13" s="318"/>
      <c r="K13" s="315"/>
      <c r="L13" s="321"/>
      <c r="M13" s="312"/>
      <c r="N13" s="312"/>
      <c r="O13" s="312"/>
      <c r="P13" s="312"/>
      <c r="Q13" s="312"/>
      <c r="R13" s="312"/>
      <c r="S13" s="312"/>
      <c r="T13" s="312"/>
      <c r="U13" s="312"/>
    </row>
    <row r="14" spans="1:21" ht="12.75">
      <c r="A14" s="327"/>
      <c r="B14" s="330"/>
      <c r="C14" s="315"/>
      <c r="D14" s="333"/>
      <c r="E14" s="315"/>
      <c r="F14" s="336"/>
      <c r="G14" s="315"/>
      <c r="H14" s="324"/>
      <c r="I14" s="315"/>
      <c r="J14" s="318"/>
      <c r="K14" s="315"/>
      <c r="L14" s="321"/>
      <c r="M14" s="312"/>
      <c r="N14" s="312"/>
      <c r="O14" s="312"/>
      <c r="P14" s="312"/>
      <c r="Q14" s="312"/>
      <c r="R14" s="312"/>
      <c r="S14" s="312"/>
      <c r="T14" s="312"/>
      <c r="U14" s="312"/>
    </row>
    <row r="15" spans="1:21" ht="12.75">
      <c r="A15" s="327"/>
      <c r="B15" s="330"/>
      <c r="C15" s="315"/>
      <c r="D15" s="333"/>
      <c r="E15" s="315"/>
      <c r="F15" s="336"/>
      <c r="G15" s="315"/>
      <c r="H15" s="324"/>
      <c r="I15" s="315"/>
      <c r="J15" s="318"/>
      <c r="K15" s="315"/>
      <c r="L15" s="321"/>
      <c r="M15" s="312"/>
      <c r="N15" s="312"/>
      <c r="O15" s="312"/>
      <c r="P15" s="312"/>
      <c r="Q15" s="312"/>
      <c r="R15" s="312"/>
      <c r="S15" s="312"/>
      <c r="T15" s="312"/>
      <c r="U15" s="312"/>
    </row>
    <row r="16" spans="1:21" ht="12.75">
      <c r="A16" s="327"/>
      <c r="B16" s="330"/>
      <c r="C16" s="315"/>
      <c r="D16" s="333"/>
      <c r="E16" s="315"/>
      <c r="F16" s="336"/>
      <c r="G16" s="315"/>
      <c r="H16" s="324"/>
      <c r="I16" s="315"/>
      <c r="J16" s="318"/>
      <c r="K16" s="315"/>
      <c r="L16" s="321"/>
      <c r="M16" s="312"/>
      <c r="N16" s="312"/>
      <c r="O16" s="312"/>
      <c r="P16" s="312"/>
      <c r="Q16" s="312"/>
      <c r="R16" s="312"/>
      <c r="S16" s="312"/>
      <c r="T16" s="312"/>
      <c r="U16" s="312"/>
    </row>
    <row r="17" spans="1:21" ht="79.5" customHeight="1">
      <c r="A17" s="328"/>
      <c r="B17" s="331"/>
      <c r="C17" s="316"/>
      <c r="D17" s="334"/>
      <c r="E17" s="316"/>
      <c r="F17" s="337"/>
      <c r="G17" s="316"/>
      <c r="H17" s="325"/>
      <c r="I17" s="316"/>
      <c r="J17" s="319"/>
      <c r="K17" s="316"/>
      <c r="L17" s="322"/>
      <c r="M17" s="313"/>
      <c r="N17" s="313"/>
      <c r="O17" s="313"/>
      <c r="P17" s="313"/>
      <c r="Q17" s="313"/>
      <c r="R17" s="313"/>
      <c r="S17" s="313"/>
      <c r="T17" s="313"/>
      <c r="U17" s="313"/>
    </row>
    <row r="18" spans="1:21" ht="15">
      <c r="A18" s="222" t="s">
        <v>191</v>
      </c>
      <c r="B18" s="223">
        <v>61</v>
      </c>
      <c r="C18" s="224">
        <f>ROUND(B18*11.61*162/1000,1)</f>
        <v>114.7</v>
      </c>
      <c r="D18" s="225">
        <v>16</v>
      </c>
      <c r="E18" s="226">
        <f>ROUND(D18*20.62*184/1000,1)</f>
        <v>60.7</v>
      </c>
      <c r="F18" s="227">
        <v>8</v>
      </c>
      <c r="G18" s="228">
        <f>ROUND(F18*20.62*184/1000,1)</f>
        <v>30.4</v>
      </c>
      <c r="H18" s="229">
        <v>2</v>
      </c>
      <c r="I18" s="230">
        <f>ROUND(H18*20.62*184/1000,1)</f>
        <v>7.6</v>
      </c>
      <c r="J18" s="231">
        <v>20</v>
      </c>
      <c r="K18" s="228">
        <f>ROUND(J18*20.62*184/1000,1)</f>
        <v>75.9</v>
      </c>
      <c r="L18" s="232">
        <f>ROUND(C18+E18+G18+I18+K18,1)</f>
        <v>289.3</v>
      </c>
      <c r="M18" s="233">
        <f>(E18+G18+I18+K18)/184*22</f>
        <v>20.87608695652174</v>
      </c>
      <c r="N18" s="233">
        <f>(E18+G18+I18+K18)/184*22+C18/162*22</f>
        <v>36.45263016639828</v>
      </c>
      <c r="O18" s="233">
        <f>(E18+G18+I18+K18)/184*20+C18/162*20</f>
        <v>33.13875469672571</v>
      </c>
      <c r="P18" s="233">
        <f>(E18+G18+I18+K18)/184*23+C18/162*23</f>
        <v>38.10956790123457</v>
      </c>
      <c r="Q18" s="233">
        <f>(E18+G18+I18+K18)/184*15+C18/162*15</f>
        <v>24.854066022544284</v>
      </c>
      <c r="R18" s="233">
        <f>(E18+G18+I18+K18)/184*19+C18/162*19</f>
        <v>31.48181696188943</v>
      </c>
      <c r="S18" s="233">
        <f>(E18+G18+I18+K18)/184*22+C18/162*22</f>
        <v>36.45263016639828</v>
      </c>
      <c r="T18" s="233">
        <f>(E18+G18+I18+K18)/184*22+C18/162*22</f>
        <v>36.45263016639828</v>
      </c>
      <c r="U18" s="233">
        <f>(E18+G18+I18+K18)/184*19+C18/162*19</f>
        <v>31.48181696188943</v>
      </c>
    </row>
    <row r="19" spans="1:21" ht="15">
      <c r="A19" s="234" t="s">
        <v>192</v>
      </c>
      <c r="B19" s="235">
        <v>39</v>
      </c>
      <c r="C19" s="224">
        <f aca="true" t="shared" si="0" ref="C19:C34">ROUND(B19*11.61*162/1000,1)</f>
        <v>73.4</v>
      </c>
      <c r="D19" s="236">
        <v>17</v>
      </c>
      <c r="E19" s="226">
        <f aca="true" t="shared" si="1" ref="E19:E34">ROUND(D19*20.62*184/1000,1)</f>
        <v>64.5</v>
      </c>
      <c r="F19" s="227">
        <v>7</v>
      </c>
      <c r="G19" s="228">
        <f aca="true" t="shared" si="2" ref="G19:G32">ROUND(F19*20.62*184/1000,1)</f>
        <v>26.6</v>
      </c>
      <c r="H19" s="237"/>
      <c r="I19" s="230"/>
      <c r="J19" s="238"/>
      <c r="K19" s="228"/>
      <c r="L19" s="232">
        <f aca="true" t="shared" si="3" ref="L19:L34">ROUND(C19+E19+G19+I19+K19,1)</f>
        <v>164.5</v>
      </c>
      <c r="M19" s="233">
        <f aca="true" t="shared" si="4" ref="M19:M34">(E19+G19+I19+K19)/184*22</f>
        <v>10.892391304347825</v>
      </c>
      <c r="N19" s="233">
        <f aca="true" t="shared" si="5" ref="N19:N34">(E19+G19+I19+K19)/184*22+C19/162*22</f>
        <v>20.86029253891573</v>
      </c>
      <c r="O19" s="233">
        <f aca="true" t="shared" si="6" ref="O19:O34">(E19+G19+I19+K19)/184*20+C19/162*20</f>
        <v>18.963902308105204</v>
      </c>
      <c r="P19" s="233">
        <f aca="true" t="shared" si="7" ref="P19:P34">(E19+G19+I19+K19)/184*23+C19/162*23</f>
        <v>21.808487654320988</v>
      </c>
      <c r="Q19" s="233">
        <f aca="true" t="shared" si="8" ref="Q19:Q34">(E19+G19+I19+K19)/184*15+C19/162*15</f>
        <v>14.222926731078903</v>
      </c>
      <c r="R19" s="233">
        <f aca="true" t="shared" si="9" ref="R19:R34">(E19+G19+I19+K19)/184*19+C19/162*19</f>
        <v>18.015707192699946</v>
      </c>
      <c r="S19" s="233">
        <f aca="true" t="shared" si="10" ref="S19:S34">(E19+G19+I19+K19)/184*22+C19/162*22</f>
        <v>20.86029253891573</v>
      </c>
      <c r="T19" s="233">
        <f aca="true" t="shared" si="11" ref="T19:T34">(E19+G19+I19+K19)/184*22+C19/162*22</f>
        <v>20.86029253891573</v>
      </c>
      <c r="U19" s="233">
        <f aca="true" t="shared" si="12" ref="U19:U34">(E19+G19+I19+K19)/184*19+C19/162*19</f>
        <v>18.015707192699946</v>
      </c>
    </row>
    <row r="20" spans="1:21" ht="15">
      <c r="A20" s="239" t="s">
        <v>193</v>
      </c>
      <c r="B20" s="223">
        <v>64</v>
      </c>
      <c r="C20" s="224">
        <f t="shared" si="0"/>
        <v>120.4</v>
      </c>
      <c r="D20" s="240">
        <v>20</v>
      </c>
      <c r="E20" s="226">
        <f t="shared" si="1"/>
        <v>75.9</v>
      </c>
      <c r="F20" s="227">
        <v>16</v>
      </c>
      <c r="G20" s="228">
        <f t="shared" si="2"/>
        <v>60.7</v>
      </c>
      <c r="H20" s="241">
        <v>1</v>
      </c>
      <c r="I20" s="230">
        <f aca="true" t="shared" si="13" ref="I20:I31">ROUND(H20*20.62*184/1000,1)</f>
        <v>3.8</v>
      </c>
      <c r="J20" s="242"/>
      <c r="K20" s="228"/>
      <c r="L20" s="232">
        <f t="shared" si="3"/>
        <v>260.8</v>
      </c>
      <c r="M20" s="233">
        <f t="shared" si="4"/>
        <v>16.786956521739135</v>
      </c>
      <c r="N20" s="233">
        <f t="shared" si="5"/>
        <v>33.137573805689755</v>
      </c>
      <c r="O20" s="233">
        <f t="shared" si="6"/>
        <v>30.125067096081594</v>
      </c>
      <c r="P20" s="233">
        <f t="shared" si="7"/>
        <v>34.64382716049383</v>
      </c>
      <c r="Q20" s="233">
        <f t="shared" si="8"/>
        <v>22.593800322061195</v>
      </c>
      <c r="R20" s="233">
        <f t="shared" si="9"/>
        <v>28.618813741277513</v>
      </c>
      <c r="S20" s="233">
        <f t="shared" si="10"/>
        <v>33.137573805689755</v>
      </c>
      <c r="T20" s="233">
        <f t="shared" si="11"/>
        <v>33.137573805689755</v>
      </c>
      <c r="U20" s="233">
        <f t="shared" si="12"/>
        <v>28.618813741277513</v>
      </c>
    </row>
    <row r="21" spans="1:21" ht="15">
      <c r="A21" s="234" t="s">
        <v>194</v>
      </c>
      <c r="B21" s="223">
        <v>19</v>
      </c>
      <c r="C21" s="224">
        <f t="shared" si="0"/>
        <v>35.7</v>
      </c>
      <c r="D21" s="225">
        <v>6</v>
      </c>
      <c r="E21" s="226">
        <f t="shared" si="1"/>
        <v>22.8</v>
      </c>
      <c r="F21" s="243">
        <v>5</v>
      </c>
      <c r="G21" s="228">
        <f t="shared" si="2"/>
        <v>19</v>
      </c>
      <c r="H21" s="241"/>
      <c r="I21" s="230"/>
      <c r="J21" s="244"/>
      <c r="K21" s="228"/>
      <c r="L21" s="232">
        <f t="shared" si="3"/>
        <v>77.5</v>
      </c>
      <c r="M21" s="233">
        <f t="shared" si="4"/>
        <v>4.997826086956522</v>
      </c>
      <c r="N21" s="233">
        <f t="shared" si="5"/>
        <v>9.84597423510467</v>
      </c>
      <c r="O21" s="233">
        <f t="shared" si="6"/>
        <v>8.950885668276973</v>
      </c>
      <c r="P21" s="233">
        <f t="shared" si="7"/>
        <v>10.293518518518518</v>
      </c>
      <c r="Q21" s="233">
        <f t="shared" si="8"/>
        <v>6.713164251207729</v>
      </c>
      <c r="R21" s="233">
        <f t="shared" si="9"/>
        <v>8.503341384863123</v>
      </c>
      <c r="S21" s="233">
        <f t="shared" si="10"/>
        <v>9.84597423510467</v>
      </c>
      <c r="T21" s="233">
        <f t="shared" si="11"/>
        <v>9.84597423510467</v>
      </c>
      <c r="U21" s="233">
        <f t="shared" si="12"/>
        <v>8.503341384863123</v>
      </c>
    </row>
    <row r="22" spans="1:21" ht="15">
      <c r="A22" s="239" t="s">
        <v>195</v>
      </c>
      <c r="B22" s="223">
        <v>180</v>
      </c>
      <c r="C22" s="224">
        <f t="shared" si="0"/>
        <v>338.5</v>
      </c>
      <c r="D22" s="245">
        <v>44</v>
      </c>
      <c r="E22" s="226">
        <f t="shared" si="1"/>
        <v>166.9</v>
      </c>
      <c r="F22" s="227">
        <v>33</v>
      </c>
      <c r="G22" s="228">
        <f t="shared" si="2"/>
        <v>125.2</v>
      </c>
      <c r="H22" s="241">
        <v>3</v>
      </c>
      <c r="I22" s="230">
        <f t="shared" si="13"/>
        <v>11.4</v>
      </c>
      <c r="J22" s="246">
        <v>50</v>
      </c>
      <c r="K22" s="228">
        <f>ROUND(J22*20.62*184/1000,1)</f>
        <v>189.7</v>
      </c>
      <c r="L22" s="232">
        <f t="shared" si="3"/>
        <v>831.7</v>
      </c>
      <c r="M22" s="233">
        <f t="shared" si="4"/>
        <v>58.969565217391306</v>
      </c>
      <c r="N22" s="233">
        <f t="shared" si="5"/>
        <v>104.93870101986045</v>
      </c>
      <c r="O22" s="233">
        <f t="shared" si="6"/>
        <v>95.39881910896403</v>
      </c>
      <c r="P22" s="233">
        <f t="shared" si="7"/>
        <v>109.70864197530864</v>
      </c>
      <c r="Q22" s="233">
        <f t="shared" si="8"/>
        <v>71.54911433172303</v>
      </c>
      <c r="R22" s="233">
        <f t="shared" si="9"/>
        <v>90.62887815351584</v>
      </c>
      <c r="S22" s="233">
        <f t="shared" si="10"/>
        <v>104.93870101986045</v>
      </c>
      <c r="T22" s="233">
        <f t="shared" si="11"/>
        <v>104.93870101986045</v>
      </c>
      <c r="U22" s="233">
        <f t="shared" si="12"/>
        <v>90.62887815351584</v>
      </c>
    </row>
    <row r="23" spans="1:21" ht="15">
      <c r="A23" s="239" t="s">
        <v>196</v>
      </c>
      <c r="B23" s="223">
        <v>275</v>
      </c>
      <c r="C23" s="224">
        <f t="shared" si="0"/>
        <v>517.2</v>
      </c>
      <c r="D23" s="245">
        <v>57</v>
      </c>
      <c r="E23" s="226">
        <f t="shared" si="1"/>
        <v>216.3</v>
      </c>
      <c r="F23" s="227">
        <v>43</v>
      </c>
      <c r="G23" s="228">
        <f t="shared" si="2"/>
        <v>163.1</v>
      </c>
      <c r="H23" s="247">
        <v>9</v>
      </c>
      <c r="I23" s="230">
        <f t="shared" si="13"/>
        <v>34.1</v>
      </c>
      <c r="J23" s="246"/>
      <c r="K23" s="228"/>
      <c r="L23" s="232">
        <f t="shared" si="3"/>
        <v>930.7</v>
      </c>
      <c r="M23" s="233">
        <f t="shared" si="4"/>
        <v>49.44021739130435</v>
      </c>
      <c r="N23" s="233">
        <f t="shared" si="5"/>
        <v>119.6772544283414</v>
      </c>
      <c r="O23" s="233">
        <f t="shared" si="6"/>
        <v>108.79750402576491</v>
      </c>
      <c r="P23" s="233">
        <f t="shared" si="7"/>
        <v>125.11712962962964</v>
      </c>
      <c r="Q23" s="233">
        <f t="shared" si="8"/>
        <v>81.59812801932368</v>
      </c>
      <c r="R23" s="233">
        <f t="shared" si="9"/>
        <v>103.35762882447666</v>
      </c>
      <c r="S23" s="233">
        <f t="shared" si="10"/>
        <v>119.6772544283414</v>
      </c>
      <c r="T23" s="233">
        <f t="shared" si="11"/>
        <v>119.6772544283414</v>
      </c>
      <c r="U23" s="233">
        <f t="shared" si="12"/>
        <v>103.35762882447666</v>
      </c>
    </row>
    <row r="24" spans="1:21" ht="15">
      <c r="A24" s="239" t="s">
        <v>197</v>
      </c>
      <c r="B24" s="223">
        <v>47</v>
      </c>
      <c r="C24" s="224">
        <f t="shared" si="0"/>
        <v>88.4</v>
      </c>
      <c r="D24" s="245">
        <v>14</v>
      </c>
      <c r="E24" s="226">
        <f t="shared" si="1"/>
        <v>53.1</v>
      </c>
      <c r="F24" s="227">
        <v>13</v>
      </c>
      <c r="G24" s="228">
        <f t="shared" si="2"/>
        <v>49.3</v>
      </c>
      <c r="H24" s="247">
        <v>4</v>
      </c>
      <c r="I24" s="230">
        <f t="shared" si="13"/>
        <v>15.2</v>
      </c>
      <c r="J24" s="246"/>
      <c r="K24" s="228"/>
      <c r="L24" s="232">
        <f t="shared" si="3"/>
        <v>206</v>
      </c>
      <c r="M24" s="233">
        <f t="shared" si="4"/>
        <v>14.060869565217393</v>
      </c>
      <c r="N24" s="233">
        <f t="shared" si="5"/>
        <v>26.06580783682233</v>
      </c>
      <c r="O24" s="233">
        <f t="shared" si="6"/>
        <v>23.696188942565755</v>
      </c>
      <c r="P24" s="233">
        <f t="shared" si="7"/>
        <v>27.25061728395062</v>
      </c>
      <c r="Q24" s="233">
        <f t="shared" si="8"/>
        <v>17.772141706924316</v>
      </c>
      <c r="R24" s="233">
        <f t="shared" si="9"/>
        <v>22.51137949543747</v>
      </c>
      <c r="S24" s="233">
        <f t="shared" si="10"/>
        <v>26.06580783682233</v>
      </c>
      <c r="T24" s="233">
        <f t="shared" si="11"/>
        <v>26.06580783682233</v>
      </c>
      <c r="U24" s="233">
        <f t="shared" si="12"/>
        <v>22.51137949543747</v>
      </c>
    </row>
    <row r="25" spans="1:21" ht="45">
      <c r="A25" s="258" t="s">
        <v>211</v>
      </c>
      <c r="B25" s="223">
        <v>43</v>
      </c>
      <c r="C25" s="224">
        <f t="shared" si="0"/>
        <v>80.9</v>
      </c>
      <c r="D25" s="245">
        <v>20</v>
      </c>
      <c r="E25" s="226">
        <f t="shared" si="1"/>
        <v>75.9</v>
      </c>
      <c r="F25" s="227">
        <v>14</v>
      </c>
      <c r="G25" s="228">
        <f t="shared" si="2"/>
        <v>53.1</v>
      </c>
      <c r="H25" s="247">
        <v>4</v>
      </c>
      <c r="I25" s="230">
        <f t="shared" si="13"/>
        <v>15.2</v>
      </c>
      <c r="J25" s="246"/>
      <c r="K25" s="228"/>
      <c r="L25" s="232">
        <f t="shared" si="3"/>
        <v>225.1</v>
      </c>
      <c r="M25" s="233">
        <f t="shared" si="4"/>
        <v>17.241304347826087</v>
      </c>
      <c r="N25" s="233">
        <f t="shared" si="5"/>
        <v>28.227724100912507</v>
      </c>
      <c r="O25" s="233">
        <f t="shared" si="6"/>
        <v>25.661567364465917</v>
      </c>
      <c r="P25" s="233">
        <f t="shared" si="7"/>
        <v>29.5108024691358</v>
      </c>
      <c r="Q25" s="233">
        <f t="shared" si="8"/>
        <v>19.246175523349436</v>
      </c>
      <c r="R25" s="233">
        <f t="shared" si="9"/>
        <v>24.378488996242616</v>
      </c>
      <c r="S25" s="233">
        <f t="shared" si="10"/>
        <v>28.227724100912507</v>
      </c>
      <c r="T25" s="233">
        <f t="shared" si="11"/>
        <v>28.227724100912507</v>
      </c>
      <c r="U25" s="233">
        <f t="shared" si="12"/>
        <v>24.378488996242616</v>
      </c>
    </row>
    <row r="26" spans="1:21" ht="15">
      <c r="A26" s="239" t="s">
        <v>198</v>
      </c>
      <c r="B26" s="223">
        <v>26</v>
      </c>
      <c r="C26" s="224">
        <f t="shared" si="0"/>
        <v>48.9</v>
      </c>
      <c r="D26" s="245">
        <v>6</v>
      </c>
      <c r="E26" s="226">
        <f t="shared" si="1"/>
        <v>22.8</v>
      </c>
      <c r="F26" s="227">
        <v>6</v>
      </c>
      <c r="G26" s="228">
        <f t="shared" si="2"/>
        <v>22.8</v>
      </c>
      <c r="H26" s="247">
        <v>2</v>
      </c>
      <c r="I26" s="230">
        <f t="shared" si="13"/>
        <v>7.6</v>
      </c>
      <c r="J26" s="246"/>
      <c r="K26" s="228"/>
      <c r="L26" s="232">
        <f t="shared" si="3"/>
        <v>102.1</v>
      </c>
      <c r="M26" s="233">
        <f t="shared" si="4"/>
        <v>6.360869565217391</v>
      </c>
      <c r="N26" s="233">
        <f t="shared" si="5"/>
        <v>13.001610305958131</v>
      </c>
      <c r="O26" s="233">
        <f t="shared" si="6"/>
        <v>11.81964573268921</v>
      </c>
      <c r="P26" s="233">
        <f t="shared" si="7"/>
        <v>13.592592592592592</v>
      </c>
      <c r="Q26" s="233">
        <f t="shared" si="8"/>
        <v>8.864734299516908</v>
      </c>
      <c r="R26" s="233">
        <f t="shared" si="9"/>
        <v>11.22866344605475</v>
      </c>
      <c r="S26" s="233">
        <f t="shared" si="10"/>
        <v>13.001610305958131</v>
      </c>
      <c r="T26" s="233">
        <f t="shared" si="11"/>
        <v>13.001610305958131</v>
      </c>
      <c r="U26" s="233">
        <f t="shared" si="12"/>
        <v>11.22866344605475</v>
      </c>
    </row>
    <row r="27" spans="1:21" ht="15">
      <c r="A27" s="239" t="s">
        <v>199</v>
      </c>
      <c r="B27" s="223">
        <v>8</v>
      </c>
      <c r="C27" s="224">
        <f t="shared" si="0"/>
        <v>15</v>
      </c>
      <c r="D27" s="245">
        <v>3</v>
      </c>
      <c r="E27" s="226">
        <f t="shared" si="1"/>
        <v>11.4</v>
      </c>
      <c r="F27" s="227">
        <v>1</v>
      </c>
      <c r="G27" s="228">
        <f t="shared" si="2"/>
        <v>3.8</v>
      </c>
      <c r="H27" s="247"/>
      <c r="I27" s="230"/>
      <c r="J27" s="246"/>
      <c r="K27" s="228"/>
      <c r="L27" s="232">
        <f t="shared" si="3"/>
        <v>30.2</v>
      </c>
      <c r="M27" s="233">
        <f t="shared" si="4"/>
        <v>1.817391304347826</v>
      </c>
      <c r="N27" s="233">
        <f t="shared" si="5"/>
        <v>3.854428341384863</v>
      </c>
      <c r="O27" s="233">
        <f t="shared" si="6"/>
        <v>3.5040257648953297</v>
      </c>
      <c r="P27" s="233">
        <f t="shared" si="7"/>
        <v>4.029629629629629</v>
      </c>
      <c r="Q27" s="233">
        <f t="shared" si="8"/>
        <v>2.6280193236714977</v>
      </c>
      <c r="R27" s="233">
        <f t="shared" si="9"/>
        <v>3.3288244766505635</v>
      </c>
      <c r="S27" s="233">
        <f t="shared" si="10"/>
        <v>3.854428341384863</v>
      </c>
      <c r="T27" s="233">
        <f t="shared" si="11"/>
        <v>3.854428341384863</v>
      </c>
      <c r="U27" s="233">
        <f t="shared" si="12"/>
        <v>3.3288244766505635</v>
      </c>
    </row>
    <row r="28" spans="1:21" ht="15">
      <c r="A28" s="239" t="s">
        <v>200</v>
      </c>
      <c r="B28" s="223">
        <v>20</v>
      </c>
      <c r="C28" s="224">
        <f t="shared" si="0"/>
        <v>37.6</v>
      </c>
      <c r="D28" s="245">
        <v>3</v>
      </c>
      <c r="E28" s="226">
        <f t="shared" si="1"/>
        <v>11.4</v>
      </c>
      <c r="F28" s="227">
        <v>1</v>
      </c>
      <c r="G28" s="228">
        <f t="shared" si="2"/>
        <v>3.8</v>
      </c>
      <c r="H28" s="247"/>
      <c r="I28" s="230"/>
      <c r="J28" s="246"/>
      <c r="K28" s="228"/>
      <c r="L28" s="232">
        <f t="shared" si="3"/>
        <v>52.8</v>
      </c>
      <c r="M28" s="233">
        <f t="shared" si="4"/>
        <v>1.817391304347826</v>
      </c>
      <c r="N28" s="233">
        <f t="shared" si="5"/>
        <v>6.923564143853999</v>
      </c>
      <c r="O28" s="233">
        <f t="shared" si="6"/>
        <v>6.294149221685453</v>
      </c>
      <c r="P28" s="233">
        <f t="shared" si="7"/>
        <v>7.238271604938271</v>
      </c>
      <c r="Q28" s="233">
        <f t="shared" si="8"/>
        <v>4.72061191626409</v>
      </c>
      <c r="R28" s="233">
        <f t="shared" si="9"/>
        <v>5.979441760601181</v>
      </c>
      <c r="S28" s="233">
        <f t="shared" si="10"/>
        <v>6.923564143853999</v>
      </c>
      <c r="T28" s="233">
        <f t="shared" si="11"/>
        <v>6.923564143853999</v>
      </c>
      <c r="U28" s="233">
        <f t="shared" si="12"/>
        <v>5.979441760601181</v>
      </c>
    </row>
    <row r="29" spans="1:21" ht="15">
      <c r="A29" s="239" t="s">
        <v>201</v>
      </c>
      <c r="B29" s="223">
        <v>7</v>
      </c>
      <c r="C29" s="224">
        <f t="shared" si="0"/>
        <v>13.2</v>
      </c>
      <c r="D29" s="245">
        <v>3</v>
      </c>
      <c r="E29" s="226">
        <f t="shared" si="1"/>
        <v>11.4</v>
      </c>
      <c r="F29" s="227">
        <v>1</v>
      </c>
      <c r="G29" s="228">
        <f t="shared" si="2"/>
        <v>3.8</v>
      </c>
      <c r="H29" s="247">
        <v>1</v>
      </c>
      <c r="I29" s="230">
        <f t="shared" si="13"/>
        <v>3.8</v>
      </c>
      <c r="J29" s="246"/>
      <c r="K29" s="228"/>
      <c r="L29" s="232">
        <f t="shared" si="3"/>
        <v>32.2</v>
      </c>
      <c r="M29" s="233">
        <f t="shared" si="4"/>
        <v>2.2717391304347827</v>
      </c>
      <c r="N29" s="233">
        <f t="shared" si="5"/>
        <v>4.064331723027375</v>
      </c>
      <c r="O29" s="233">
        <f t="shared" si="6"/>
        <v>3.6948470209339774</v>
      </c>
      <c r="P29" s="233">
        <f t="shared" si="7"/>
        <v>4.249074074074074</v>
      </c>
      <c r="Q29" s="233">
        <f t="shared" si="8"/>
        <v>2.771135265700483</v>
      </c>
      <c r="R29" s="233">
        <f t="shared" si="9"/>
        <v>3.510104669887278</v>
      </c>
      <c r="S29" s="233">
        <f t="shared" si="10"/>
        <v>4.064331723027375</v>
      </c>
      <c r="T29" s="233">
        <f t="shared" si="11"/>
        <v>4.064331723027375</v>
      </c>
      <c r="U29" s="233">
        <f t="shared" si="12"/>
        <v>3.510104669887278</v>
      </c>
    </row>
    <row r="30" spans="1:21" ht="45">
      <c r="A30" s="258" t="s">
        <v>208</v>
      </c>
      <c r="B30" s="223">
        <v>20</v>
      </c>
      <c r="C30" s="224">
        <f t="shared" si="0"/>
        <v>37.6</v>
      </c>
      <c r="D30" s="245">
        <v>10</v>
      </c>
      <c r="E30" s="226">
        <f t="shared" si="1"/>
        <v>37.9</v>
      </c>
      <c r="F30" s="227">
        <v>4</v>
      </c>
      <c r="G30" s="228">
        <f t="shared" si="2"/>
        <v>15.2</v>
      </c>
      <c r="H30" s="247">
        <v>3</v>
      </c>
      <c r="I30" s="230">
        <f t="shared" si="13"/>
        <v>11.4</v>
      </c>
      <c r="J30" s="246"/>
      <c r="K30" s="228"/>
      <c r="L30" s="232">
        <f t="shared" si="3"/>
        <v>102.1</v>
      </c>
      <c r="M30" s="233">
        <f t="shared" si="4"/>
        <v>7.711956521739131</v>
      </c>
      <c r="N30" s="233">
        <f t="shared" si="5"/>
        <v>12.818129361245305</v>
      </c>
      <c r="O30" s="233">
        <f t="shared" si="6"/>
        <v>11.652844873859367</v>
      </c>
      <c r="P30" s="233">
        <f t="shared" si="7"/>
        <v>13.40077160493827</v>
      </c>
      <c r="Q30" s="233">
        <f t="shared" si="8"/>
        <v>8.739633655394526</v>
      </c>
      <c r="R30" s="233">
        <f t="shared" si="9"/>
        <v>11.0702026301664</v>
      </c>
      <c r="S30" s="233">
        <f t="shared" si="10"/>
        <v>12.818129361245305</v>
      </c>
      <c r="T30" s="233">
        <f t="shared" si="11"/>
        <v>12.818129361245305</v>
      </c>
      <c r="U30" s="233">
        <f t="shared" si="12"/>
        <v>11.0702026301664</v>
      </c>
    </row>
    <row r="31" spans="1:21" ht="15">
      <c r="A31" s="239" t="s">
        <v>202</v>
      </c>
      <c r="B31" s="223">
        <v>47</v>
      </c>
      <c r="C31" s="224">
        <f t="shared" si="0"/>
        <v>88.4</v>
      </c>
      <c r="D31" s="245">
        <v>24</v>
      </c>
      <c r="E31" s="226">
        <f t="shared" si="1"/>
        <v>91.1</v>
      </c>
      <c r="F31" s="227">
        <v>6</v>
      </c>
      <c r="G31" s="228">
        <f t="shared" si="2"/>
        <v>22.8</v>
      </c>
      <c r="H31" s="247">
        <v>2</v>
      </c>
      <c r="I31" s="230">
        <f t="shared" si="13"/>
        <v>7.6</v>
      </c>
      <c r="J31" s="246"/>
      <c r="K31" s="228"/>
      <c r="L31" s="232">
        <f t="shared" si="3"/>
        <v>209.9</v>
      </c>
      <c r="M31" s="233">
        <f t="shared" si="4"/>
        <v>14.527173913043475</v>
      </c>
      <c r="N31" s="233">
        <f t="shared" si="5"/>
        <v>26.532112184648412</v>
      </c>
      <c r="O31" s="233">
        <f t="shared" si="6"/>
        <v>24.120101986044013</v>
      </c>
      <c r="P31" s="233">
        <f t="shared" si="7"/>
        <v>27.738117283950615</v>
      </c>
      <c r="Q31" s="233">
        <f t="shared" si="8"/>
        <v>18.09007648953301</v>
      </c>
      <c r="R31" s="233">
        <f t="shared" si="9"/>
        <v>22.914096886741813</v>
      </c>
      <c r="S31" s="233">
        <f t="shared" si="10"/>
        <v>26.532112184648412</v>
      </c>
      <c r="T31" s="233">
        <f t="shared" si="11"/>
        <v>26.532112184648412</v>
      </c>
      <c r="U31" s="233">
        <f t="shared" si="12"/>
        <v>22.914096886741813</v>
      </c>
    </row>
    <row r="32" spans="1:21" ht="15">
      <c r="A32" s="239" t="s">
        <v>203</v>
      </c>
      <c r="B32" s="223">
        <v>13</v>
      </c>
      <c r="C32" s="224">
        <f t="shared" si="0"/>
        <v>24.5</v>
      </c>
      <c r="D32" s="245">
        <v>10</v>
      </c>
      <c r="E32" s="226">
        <f t="shared" si="1"/>
        <v>37.9</v>
      </c>
      <c r="F32" s="227">
        <v>4</v>
      </c>
      <c r="G32" s="228">
        <f t="shared" si="2"/>
        <v>15.2</v>
      </c>
      <c r="H32" s="247"/>
      <c r="I32" s="230"/>
      <c r="J32" s="246"/>
      <c r="K32" s="228"/>
      <c r="L32" s="232">
        <f t="shared" si="3"/>
        <v>77.6</v>
      </c>
      <c r="M32" s="233">
        <f t="shared" si="4"/>
        <v>6.348913043478261</v>
      </c>
      <c r="N32" s="233">
        <f t="shared" si="5"/>
        <v>9.67607353730542</v>
      </c>
      <c r="O32" s="233">
        <f t="shared" si="6"/>
        <v>8.796430488459475</v>
      </c>
      <c r="P32" s="233">
        <f t="shared" si="7"/>
        <v>10.115895061728395</v>
      </c>
      <c r="Q32" s="233">
        <f t="shared" si="8"/>
        <v>6.597322866344605</v>
      </c>
      <c r="R32" s="233">
        <f t="shared" si="9"/>
        <v>8.3566089640365</v>
      </c>
      <c r="S32" s="233">
        <f t="shared" si="10"/>
        <v>9.67607353730542</v>
      </c>
      <c r="T32" s="233">
        <f t="shared" si="11"/>
        <v>9.67607353730542</v>
      </c>
      <c r="U32" s="233">
        <f t="shared" si="12"/>
        <v>8.3566089640365</v>
      </c>
    </row>
    <row r="33" spans="1:21" ht="15">
      <c r="A33" s="239" t="s">
        <v>204</v>
      </c>
      <c r="B33" s="223">
        <v>8</v>
      </c>
      <c r="C33" s="224">
        <f t="shared" si="0"/>
        <v>15</v>
      </c>
      <c r="D33" s="245">
        <v>1</v>
      </c>
      <c r="E33" s="226">
        <f t="shared" si="1"/>
        <v>3.8</v>
      </c>
      <c r="F33" s="227"/>
      <c r="G33" s="228"/>
      <c r="H33" s="247"/>
      <c r="I33" s="230"/>
      <c r="J33" s="246"/>
      <c r="K33" s="228"/>
      <c r="L33" s="232">
        <f t="shared" si="3"/>
        <v>18.8</v>
      </c>
      <c r="M33" s="233">
        <f t="shared" si="4"/>
        <v>0.4543478260869565</v>
      </c>
      <c r="N33" s="233">
        <f t="shared" si="5"/>
        <v>2.491384863123993</v>
      </c>
      <c r="O33" s="233">
        <f t="shared" si="6"/>
        <v>2.2648953301127213</v>
      </c>
      <c r="P33" s="233">
        <f t="shared" si="7"/>
        <v>2.6046296296296294</v>
      </c>
      <c r="Q33" s="233">
        <f t="shared" si="8"/>
        <v>1.698671497584541</v>
      </c>
      <c r="R33" s="233">
        <f t="shared" si="9"/>
        <v>2.151650563607085</v>
      </c>
      <c r="S33" s="233">
        <f t="shared" si="10"/>
        <v>2.491384863123993</v>
      </c>
      <c r="T33" s="233">
        <f t="shared" si="11"/>
        <v>2.491384863123993</v>
      </c>
      <c r="U33" s="233">
        <f t="shared" si="12"/>
        <v>2.151650563607085</v>
      </c>
    </row>
    <row r="34" spans="1:21" ht="15">
      <c r="A34" s="239" t="s">
        <v>205</v>
      </c>
      <c r="B34" s="223">
        <v>17</v>
      </c>
      <c r="C34" s="224">
        <f t="shared" si="0"/>
        <v>32</v>
      </c>
      <c r="D34" s="245">
        <v>3</v>
      </c>
      <c r="E34" s="226">
        <f t="shared" si="1"/>
        <v>11.4</v>
      </c>
      <c r="F34" s="227"/>
      <c r="G34" s="228"/>
      <c r="H34" s="227"/>
      <c r="I34" s="230"/>
      <c r="J34" s="246"/>
      <c r="K34" s="228"/>
      <c r="L34" s="232">
        <f t="shared" si="3"/>
        <v>43.4</v>
      </c>
      <c r="M34" s="233">
        <f t="shared" si="4"/>
        <v>1.3630434782608696</v>
      </c>
      <c r="N34" s="233">
        <f t="shared" si="5"/>
        <v>5.708722490606548</v>
      </c>
      <c r="O34" s="233">
        <f t="shared" si="6"/>
        <v>5.189747718733226</v>
      </c>
      <c r="P34" s="233">
        <f t="shared" si="7"/>
        <v>5.9682098765432094</v>
      </c>
      <c r="Q34" s="233">
        <f t="shared" si="8"/>
        <v>3.8923107890499193</v>
      </c>
      <c r="R34" s="233">
        <f t="shared" si="9"/>
        <v>4.930260332796564</v>
      </c>
      <c r="S34" s="233">
        <f t="shared" si="10"/>
        <v>5.708722490606548</v>
      </c>
      <c r="T34" s="233">
        <f t="shared" si="11"/>
        <v>5.708722490606548</v>
      </c>
      <c r="U34" s="233">
        <f t="shared" si="12"/>
        <v>4.930260332796564</v>
      </c>
    </row>
    <row r="35" spans="1:21" ht="14.25">
      <c r="A35" s="248" t="s">
        <v>43</v>
      </c>
      <c r="B35" s="249">
        <f>B18+B19+B20+B21+B22+B23+B24+B25+B26+B27+B28+B29+B30+B31+B32+B33+B34</f>
        <v>894</v>
      </c>
      <c r="C35" s="250">
        <f aca="true" t="shared" si="14" ref="C35:K35">C18+C19+C20+C21+C22+C23+C24+C25+C26+C27+C28+C29+C30+C31+C32+C33+C34</f>
        <v>1681.4000000000003</v>
      </c>
      <c r="D35" s="249">
        <f t="shared" si="14"/>
        <v>257</v>
      </c>
      <c r="E35" s="250">
        <f t="shared" si="14"/>
        <v>975.1999999999999</v>
      </c>
      <c r="F35" s="249">
        <f t="shared" si="14"/>
        <v>162</v>
      </c>
      <c r="G35" s="250">
        <f t="shared" si="14"/>
        <v>614.7999999999998</v>
      </c>
      <c r="H35" s="249">
        <f t="shared" si="14"/>
        <v>31</v>
      </c>
      <c r="I35" s="250">
        <f>I18+I19+I20+I21+I22+I23+I24+I25+I26+I27+I28+I29+I30+I31+I32+I33+I34</f>
        <v>117.69999999999999</v>
      </c>
      <c r="J35" s="249">
        <f t="shared" si="14"/>
        <v>70</v>
      </c>
      <c r="K35" s="250">
        <f t="shared" si="14"/>
        <v>265.6</v>
      </c>
      <c r="L35" s="251">
        <f>SUM(L18:L34)</f>
        <v>3654.7</v>
      </c>
      <c r="M35" s="251">
        <f>SUM(M18:M34)</f>
        <v>235.93804347826088</v>
      </c>
      <c r="N35" s="251">
        <f aca="true" t="shared" si="15" ref="N35:U35">SUM(N18:N34)</f>
        <v>464.27631508319905</v>
      </c>
      <c r="O35" s="251">
        <f t="shared" si="15"/>
        <v>422.0693773483628</v>
      </c>
      <c r="P35" s="251">
        <f t="shared" si="15"/>
        <v>485.37978395061737</v>
      </c>
      <c r="Q35" s="251">
        <f t="shared" si="15"/>
        <v>316.55203301127216</v>
      </c>
      <c r="R35" s="251">
        <f t="shared" si="15"/>
        <v>400.9659084809447</v>
      </c>
      <c r="S35" s="251">
        <f t="shared" si="15"/>
        <v>464.27631508319905</v>
      </c>
      <c r="T35" s="251">
        <f t="shared" si="15"/>
        <v>464.27631508319905</v>
      </c>
      <c r="U35" s="251">
        <f t="shared" si="15"/>
        <v>400.9659084809447</v>
      </c>
    </row>
    <row r="36" spans="1:21" ht="15">
      <c r="A36" s="252"/>
      <c r="B36" s="253"/>
      <c r="C36" s="254"/>
      <c r="D36" s="255"/>
      <c r="E36" s="254"/>
      <c r="F36" s="254"/>
      <c r="G36" s="254"/>
      <c r="H36" s="244"/>
      <c r="I36" s="244"/>
      <c r="J36" s="256"/>
      <c r="K36" s="254"/>
      <c r="L36" s="254"/>
      <c r="M36" s="257"/>
      <c r="N36" s="257"/>
      <c r="O36" s="257"/>
      <c r="P36" s="241"/>
      <c r="Q36" s="257"/>
      <c r="R36" s="257"/>
      <c r="S36" s="257"/>
      <c r="T36" s="241"/>
      <c r="U36" s="233"/>
    </row>
    <row r="37" spans="1:21" ht="15">
      <c r="A37" s="220"/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</row>
    <row r="38" spans="1:21" ht="12.75">
      <c r="A38" s="176"/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</row>
    <row r="39" spans="1:21" ht="12.75">
      <c r="A39" s="176"/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</row>
    <row r="40" spans="1:21" ht="12.75">
      <c r="A40" s="176"/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</row>
    <row r="41" spans="1:21" ht="12.75">
      <c r="A41" s="176"/>
      <c r="B41" s="176"/>
      <c r="C41" s="176"/>
      <c r="D41" s="176"/>
      <c r="E41" s="176"/>
      <c r="F41" s="176"/>
      <c r="G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</row>
    <row r="43" spans="1:10" ht="15">
      <c r="A43" s="218"/>
      <c r="J43" s="218"/>
    </row>
    <row r="47" spans="1:10" ht="15">
      <c r="A47" s="218"/>
      <c r="J47" s="218"/>
    </row>
    <row r="53" ht="12.75">
      <c r="A53" s="217"/>
    </row>
  </sheetData>
  <sheetProtection/>
  <mergeCells count="27">
    <mergeCell ref="P1:U1"/>
    <mergeCell ref="P2:U2"/>
    <mergeCell ref="O3:U3"/>
    <mergeCell ref="O4:U4"/>
    <mergeCell ref="A7:U7"/>
    <mergeCell ref="A8:U8"/>
    <mergeCell ref="A11:A17"/>
    <mergeCell ref="B11:B17"/>
    <mergeCell ref="C11:C17"/>
    <mergeCell ref="D11:D17"/>
    <mergeCell ref="E11:E17"/>
    <mergeCell ref="F11:F17"/>
    <mergeCell ref="G11:G17"/>
    <mergeCell ref="J11:J17"/>
    <mergeCell ref="K11:K17"/>
    <mergeCell ref="L11:L17"/>
    <mergeCell ref="M11:M17"/>
    <mergeCell ref="N11:N17"/>
    <mergeCell ref="H11:H17"/>
    <mergeCell ref="I11:I17"/>
    <mergeCell ref="U11:U17"/>
    <mergeCell ref="O11:O17"/>
    <mergeCell ref="P11:P17"/>
    <mergeCell ref="Q11:Q17"/>
    <mergeCell ref="R11:R17"/>
    <mergeCell ref="S11:S17"/>
    <mergeCell ref="T11:T17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6">
      <selection activeCell="I30" sqref="I30"/>
    </sheetView>
  </sheetViews>
  <sheetFormatPr defaultColWidth="9.140625" defaultRowHeight="12.75"/>
  <cols>
    <col min="1" max="1" width="28.421875" style="0" customWidth="1"/>
    <col min="2" max="2" width="5.57421875" style="0" customWidth="1"/>
    <col min="3" max="5" width="7.140625" style="0" customWidth="1"/>
    <col min="6" max="6" width="6.7109375" style="0" customWidth="1"/>
    <col min="7" max="7" width="6.28125" style="0" customWidth="1"/>
    <col min="8" max="8" width="5.140625" style="0" customWidth="1"/>
    <col min="9" max="9" width="5.7109375" style="0" customWidth="1"/>
    <col min="10" max="10" width="5.28125" style="0" customWidth="1"/>
    <col min="11" max="11" width="5.421875" style="0" customWidth="1"/>
    <col min="12" max="13" width="0" style="0" hidden="1" customWidth="1"/>
    <col min="14" max="15" width="5.8515625" style="0" customWidth="1"/>
    <col min="16" max="16" width="7.140625" style="0" customWidth="1"/>
    <col min="17" max="18" width="5.7109375" style="0" customWidth="1"/>
    <col min="19" max="23" width="5.421875" style="0" customWidth="1"/>
    <col min="24" max="24" width="5.28125" style="0" customWidth="1"/>
    <col min="25" max="26" width="5.7109375" style="0" customWidth="1"/>
    <col min="27" max="27" width="6.7109375" style="0" customWidth="1"/>
    <col min="28" max="28" width="6.28125" style="0" customWidth="1"/>
    <col min="29" max="29" width="7.00390625" style="0" customWidth="1"/>
    <col min="30" max="30" width="7.28125" style="0" customWidth="1"/>
  </cols>
  <sheetData>
    <row r="1" ht="12.75">
      <c r="P1" t="s">
        <v>71</v>
      </c>
    </row>
    <row r="2" spans="1:27" s="1" customFormat="1" ht="12.75">
      <c r="A2" s="3"/>
      <c r="B2" s="22"/>
      <c r="C2"/>
      <c r="D2"/>
      <c r="E2"/>
      <c r="F2"/>
      <c r="G2"/>
      <c r="H2"/>
      <c r="I2"/>
      <c r="J2"/>
      <c r="K2"/>
      <c r="L2"/>
      <c r="M2"/>
      <c r="N2"/>
      <c r="O2" t="s">
        <v>72</v>
      </c>
      <c r="P2"/>
      <c r="Q2" s="26"/>
      <c r="R2" s="25"/>
      <c r="S2" s="26"/>
      <c r="T2" s="26"/>
      <c r="U2" s="26"/>
      <c r="V2" s="3"/>
      <c r="W2" s="3"/>
      <c r="X2"/>
      <c r="Y2" s="23"/>
      <c r="Z2" s="23"/>
      <c r="AA2" s="22"/>
    </row>
    <row r="3" spans="4:27" ht="12.75">
      <c r="D3" t="s">
        <v>66</v>
      </c>
      <c r="N3" s="28"/>
      <c r="Q3" s="1"/>
      <c r="R3" s="1" t="s">
        <v>44</v>
      </c>
      <c r="S3" s="1"/>
      <c r="T3" s="1"/>
      <c r="U3" s="1"/>
      <c r="V3" s="1"/>
      <c r="W3" s="1"/>
      <c r="X3" s="1"/>
      <c r="Y3" s="1"/>
      <c r="Z3" s="1"/>
      <c r="AA3" s="1"/>
    </row>
    <row r="4" spans="1:27" ht="12.75">
      <c r="A4" t="s">
        <v>70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30" ht="12.75">
      <c r="A5" s="29"/>
      <c r="B5" s="30" t="s">
        <v>0</v>
      </c>
      <c r="C5" s="31" t="s">
        <v>1</v>
      </c>
      <c r="D5" s="96" t="s">
        <v>2</v>
      </c>
      <c r="E5" s="73" t="s">
        <v>0</v>
      </c>
      <c r="F5" s="31" t="s">
        <v>1</v>
      </c>
      <c r="G5" s="96" t="s">
        <v>2</v>
      </c>
      <c r="H5" s="32" t="s">
        <v>0</v>
      </c>
      <c r="I5" s="33" t="s">
        <v>1</v>
      </c>
      <c r="J5" s="99" t="s">
        <v>2</v>
      </c>
      <c r="K5" s="32" t="s">
        <v>0</v>
      </c>
      <c r="L5" s="30"/>
      <c r="M5" s="31"/>
      <c r="N5" s="33" t="s">
        <v>1</v>
      </c>
      <c r="O5" s="99" t="s">
        <v>2</v>
      </c>
      <c r="P5" s="64">
        <v>2010</v>
      </c>
      <c r="Q5" s="64">
        <v>2010</v>
      </c>
      <c r="R5" s="64">
        <v>2010</v>
      </c>
      <c r="S5" s="64">
        <v>2010</v>
      </c>
      <c r="T5" s="64"/>
      <c r="U5" s="64">
        <v>2010</v>
      </c>
      <c r="V5" s="64">
        <v>2010</v>
      </c>
      <c r="W5" s="64"/>
      <c r="X5" s="64">
        <v>2010</v>
      </c>
      <c r="Y5" s="64">
        <v>2010</v>
      </c>
      <c r="Z5" s="64">
        <v>2010</v>
      </c>
      <c r="AA5" s="117">
        <v>2010</v>
      </c>
      <c r="AB5" s="64"/>
      <c r="AC5" s="92"/>
      <c r="AD5" s="64"/>
    </row>
    <row r="6" spans="1:30" ht="12.75">
      <c r="A6" s="34"/>
      <c r="B6" s="35" t="s">
        <v>4</v>
      </c>
      <c r="C6" s="36">
        <v>11.61</v>
      </c>
      <c r="D6" s="97"/>
      <c r="E6" s="21" t="s">
        <v>57</v>
      </c>
      <c r="F6" s="36">
        <v>11.61</v>
      </c>
      <c r="G6" s="97"/>
      <c r="H6" s="20" t="s">
        <v>4</v>
      </c>
      <c r="I6" s="101">
        <v>20.62</v>
      </c>
      <c r="J6" s="97"/>
      <c r="K6" s="20" t="s">
        <v>4</v>
      </c>
      <c r="L6" s="35"/>
      <c r="M6" s="8"/>
      <c r="N6" s="101">
        <v>11.61</v>
      </c>
      <c r="O6" s="97"/>
      <c r="P6" s="6" t="s">
        <v>5</v>
      </c>
      <c r="Q6" s="17" t="s">
        <v>45</v>
      </c>
      <c r="R6" s="17" t="s">
        <v>54</v>
      </c>
      <c r="S6" s="17" t="s">
        <v>46</v>
      </c>
      <c r="T6" s="64">
        <v>2010</v>
      </c>
      <c r="U6" s="17" t="s">
        <v>47</v>
      </c>
      <c r="V6" s="21" t="s">
        <v>48</v>
      </c>
      <c r="W6" s="64">
        <v>2010</v>
      </c>
      <c r="X6" s="20" t="s">
        <v>6</v>
      </c>
      <c r="Y6" s="20" t="s">
        <v>7</v>
      </c>
      <c r="Z6" s="37" t="s">
        <v>52</v>
      </c>
      <c r="AA6" s="118" t="s">
        <v>8</v>
      </c>
      <c r="AB6" s="85">
        <v>2010</v>
      </c>
      <c r="AC6" s="85">
        <v>2010</v>
      </c>
      <c r="AD6" s="85">
        <v>2010</v>
      </c>
    </row>
    <row r="7" spans="1:30" ht="12.75">
      <c r="A7" s="34" t="s">
        <v>9</v>
      </c>
      <c r="B7" s="87" t="s">
        <v>10</v>
      </c>
      <c r="C7" s="38" t="s">
        <v>11</v>
      </c>
      <c r="D7" s="97"/>
      <c r="E7" s="21" t="s">
        <v>58</v>
      </c>
      <c r="F7" s="38" t="s">
        <v>11</v>
      </c>
      <c r="G7" s="97"/>
      <c r="H7" s="6" t="s">
        <v>12</v>
      </c>
      <c r="I7" s="39" t="s">
        <v>11</v>
      </c>
      <c r="J7" s="97"/>
      <c r="K7" s="9" t="s">
        <v>13</v>
      </c>
      <c r="L7" s="40"/>
      <c r="M7" s="41"/>
      <c r="N7" s="39" t="s">
        <v>14</v>
      </c>
      <c r="O7" s="97"/>
      <c r="P7" s="42"/>
      <c r="Q7" s="17" t="s">
        <v>56</v>
      </c>
      <c r="R7" s="17" t="s">
        <v>55</v>
      </c>
      <c r="S7" s="17"/>
      <c r="T7" s="93" t="s">
        <v>76</v>
      </c>
      <c r="U7" s="17" t="s">
        <v>53</v>
      </c>
      <c r="V7" s="17"/>
      <c r="W7" s="3" t="s">
        <v>77</v>
      </c>
      <c r="X7" s="20" t="s">
        <v>15</v>
      </c>
      <c r="Y7" s="20" t="s">
        <v>15</v>
      </c>
      <c r="Z7" s="37" t="s">
        <v>15</v>
      </c>
      <c r="AA7" s="118" t="s">
        <v>15</v>
      </c>
      <c r="AB7" s="85" t="s">
        <v>78</v>
      </c>
      <c r="AC7" s="85" t="s">
        <v>5</v>
      </c>
      <c r="AD7" s="85" t="s">
        <v>5</v>
      </c>
    </row>
    <row r="8" spans="1:30" ht="12.75">
      <c r="A8" s="34"/>
      <c r="B8" s="35" t="s">
        <v>16</v>
      </c>
      <c r="C8" s="8" t="s">
        <v>14</v>
      </c>
      <c r="D8" s="98" t="s">
        <v>50</v>
      </c>
      <c r="E8" s="102" t="s">
        <v>59</v>
      </c>
      <c r="F8" s="8" t="s">
        <v>14</v>
      </c>
      <c r="G8" s="98" t="s">
        <v>50</v>
      </c>
      <c r="H8" s="44"/>
      <c r="I8" s="39" t="s">
        <v>14</v>
      </c>
      <c r="J8" s="100" t="s">
        <v>51</v>
      </c>
      <c r="K8" s="9" t="s">
        <v>17</v>
      </c>
      <c r="L8" s="40"/>
      <c r="M8" s="20"/>
      <c r="N8" s="20"/>
      <c r="O8" s="100"/>
      <c r="P8" s="42"/>
      <c r="Q8" s="17"/>
      <c r="R8" s="17"/>
      <c r="S8" s="17"/>
      <c r="T8" s="17"/>
      <c r="U8" s="21"/>
      <c r="V8" s="17"/>
      <c r="W8" s="1"/>
      <c r="X8" s="7" t="s">
        <v>79</v>
      </c>
      <c r="Y8" s="7"/>
      <c r="Z8" s="15"/>
      <c r="AA8" s="119"/>
      <c r="AB8" s="86"/>
      <c r="AC8" s="21"/>
      <c r="AD8" s="85" t="s">
        <v>80</v>
      </c>
    </row>
    <row r="9" spans="2:30" ht="12.75">
      <c r="B9" s="20">
        <v>2009</v>
      </c>
      <c r="C9" s="8"/>
      <c r="D9" s="98"/>
      <c r="E9" s="103" t="s">
        <v>60</v>
      </c>
      <c r="F9" s="45"/>
      <c r="G9" s="98"/>
      <c r="H9" s="20"/>
      <c r="I9" s="16"/>
      <c r="J9" s="100"/>
      <c r="K9" s="9" t="s">
        <v>18</v>
      </c>
      <c r="L9" s="35"/>
      <c r="M9" s="20"/>
      <c r="N9" s="20"/>
      <c r="O9" s="100">
        <v>174</v>
      </c>
      <c r="P9" s="6" t="s">
        <v>50</v>
      </c>
      <c r="Q9" s="21">
        <v>15</v>
      </c>
      <c r="R9" s="21">
        <v>20</v>
      </c>
      <c r="S9" s="21">
        <v>16</v>
      </c>
      <c r="T9" s="21"/>
      <c r="U9" s="45">
        <v>22</v>
      </c>
      <c r="V9" s="17">
        <v>21</v>
      </c>
      <c r="W9" s="1"/>
      <c r="X9" s="20">
        <v>21</v>
      </c>
      <c r="Y9" s="20">
        <v>23</v>
      </c>
      <c r="Z9" s="37">
        <v>15</v>
      </c>
      <c r="AA9" s="118">
        <v>21</v>
      </c>
      <c r="AB9" s="21"/>
      <c r="AC9" s="21"/>
      <c r="AD9" s="85" t="s">
        <v>81</v>
      </c>
    </row>
    <row r="10" spans="2:30" ht="12.75">
      <c r="B10" s="40"/>
      <c r="C10" s="8"/>
      <c r="D10" s="98" t="s">
        <v>19</v>
      </c>
      <c r="E10" s="102" t="s">
        <v>61</v>
      </c>
      <c r="F10" s="21"/>
      <c r="G10" s="98" t="s">
        <v>19</v>
      </c>
      <c r="H10" s="20"/>
      <c r="I10" s="16"/>
      <c r="J10" s="100" t="s">
        <v>19</v>
      </c>
      <c r="K10" s="34"/>
      <c r="L10" s="46"/>
      <c r="M10" s="20"/>
      <c r="N10" s="20"/>
      <c r="O10" s="100" t="s">
        <v>19</v>
      </c>
      <c r="P10" s="6" t="s">
        <v>19</v>
      </c>
      <c r="Q10" s="20" t="s">
        <v>49</v>
      </c>
      <c r="R10" s="20" t="s">
        <v>49</v>
      </c>
      <c r="S10" s="20" t="s">
        <v>49</v>
      </c>
      <c r="T10" s="20"/>
      <c r="U10" s="20" t="s">
        <v>49</v>
      </c>
      <c r="V10" s="20" t="s">
        <v>49</v>
      </c>
      <c r="W10" s="20"/>
      <c r="X10" s="20" t="s">
        <v>49</v>
      </c>
      <c r="Y10" s="20" t="s">
        <v>49</v>
      </c>
      <c r="Z10" s="37" t="s">
        <v>49</v>
      </c>
      <c r="AA10" s="118" t="s">
        <v>49</v>
      </c>
      <c r="AB10" s="21"/>
      <c r="AC10" s="17"/>
      <c r="AD10" s="93"/>
    </row>
    <row r="11" spans="1:30" ht="12.75">
      <c r="A11" s="34"/>
      <c r="B11" s="47"/>
      <c r="C11" s="8"/>
      <c r="D11" s="98" t="s">
        <v>11</v>
      </c>
      <c r="E11" s="74"/>
      <c r="F11" s="74"/>
      <c r="G11" s="98" t="s">
        <v>11</v>
      </c>
      <c r="H11" s="39"/>
      <c r="I11" s="9"/>
      <c r="J11" s="100" t="s">
        <v>11</v>
      </c>
      <c r="K11" s="47"/>
      <c r="L11" s="35"/>
      <c r="M11" s="20"/>
      <c r="N11" s="20"/>
      <c r="O11" s="100" t="s">
        <v>11</v>
      </c>
      <c r="P11" s="9" t="s">
        <v>20</v>
      </c>
      <c r="Q11" s="48"/>
      <c r="R11" s="48"/>
      <c r="S11" s="48"/>
      <c r="T11" s="48"/>
      <c r="U11" s="49"/>
      <c r="V11" s="49"/>
      <c r="W11" s="114"/>
      <c r="X11" s="9"/>
      <c r="Y11" s="9"/>
      <c r="Z11" s="16"/>
      <c r="AA11" s="120"/>
      <c r="AB11" s="95"/>
      <c r="AC11" s="48"/>
      <c r="AD11" s="95"/>
    </row>
    <row r="12" spans="1:30" ht="12.75">
      <c r="A12" s="50" t="s">
        <v>21</v>
      </c>
      <c r="B12" s="80">
        <v>73</v>
      </c>
      <c r="C12" s="51">
        <f>B12*11.61</f>
        <v>847.53</v>
      </c>
      <c r="D12" s="52">
        <f>C12*174/1000</f>
        <v>147.47022</v>
      </c>
      <c r="E12" s="75">
        <v>21</v>
      </c>
      <c r="F12" s="51">
        <f>E12*11.61</f>
        <v>243.81</v>
      </c>
      <c r="G12" s="52">
        <f>F12*174/1000</f>
        <v>42.422940000000004</v>
      </c>
      <c r="H12" s="50"/>
      <c r="I12" s="53"/>
      <c r="J12" s="54"/>
      <c r="K12" s="54"/>
      <c r="L12" s="53"/>
      <c r="M12" s="53"/>
      <c r="N12" s="54"/>
      <c r="O12" s="54"/>
      <c r="P12" s="54">
        <f>D12+G12+J12+O12</f>
        <v>189.89316000000002</v>
      </c>
      <c r="Q12" s="18">
        <f>P12/174*15</f>
        <v>16.370100000000004</v>
      </c>
      <c r="R12" s="19">
        <f>P12/174*20</f>
        <v>21.826800000000006</v>
      </c>
      <c r="S12" s="18">
        <f>P12/174*16</f>
        <v>17.461440000000003</v>
      </c>
      <c r="T12" s="65">
        <f>SUM(Q12:S12)</f>
        <v>55.65834000000002</v>
      </c>
      <c r="U12" s="19">
        <f>P12/174*22</f>
        <v>24.009480000000003</v>
      </c>
      <c r="V12" s="89">
        <f>P12/174*21</f>
        <v>22.918140000000005</v>
      </c>
      <c r="W12" s="68">
        <f>U12+V12</f>
        <v>46.927620000000005</v>
      </c>
      <c r="X12" s="71">
        <f aca="true" t="shared" si="0" ref="X12:X33">P12/174*21</f>
        <v>22.918140000000005</v>
      </c>
      <c r="Y12" s="52">
        <f aca="true" t="shared" si="1" ref="Y12:Y33">P12/174*23</f>
        <v>25.100820000000006</v>
      </c>
      <c r="Z12" s="55">
        <f aca="true" t="shared" si="2" ref="Z12:Z33">P12/174*15</f>
        <v>16.370100000000004</v>
      </c>
      <c r="AA12" s="19">
        <f aca="true" t="shared" si="3" ref="AA12:AA33">P12/174*21</f>
        <v>22.918140000000005</v>
      </c>
      <c r="AB12" s="68">
        <f>SUM(Y12:AA12)</f>
        <v>64.38906000000001</v>
      </c>
      <c r="AC12" s="68">
        <f>T12+W12+X12+AB12</f>
        <v>189.89316000000005</v>
      </c>
      <c r="AD12" s="67">
        <f>$AD$34/$AC$34*AC12</f>
        <v>189.92602464266423</v>
      </c>
    </row>
    <row r="13" spans="1:30" ht="12.75">
      <c r="A13" s="39" t="s">
        <v>22</v>
      </c>
      <c r="B13" s="20">
        <v>56</v>
      </c>
      <c r="C13" s="51">
        <f aca="true" t="shared" si="4" ref="C13:C33">B13*11.61</f>
        <v>650.16</v>
      </c>
      <c r="D13" s="52">
        <f aca="true" t="shared" si="5" ref="D13:D33">C13*174/1000</f>
        <v>113.12783999999999</v>
      </c>
      <c r="E13" s="76">
        <v>14</v>
      </c>
      <c r="F13" s="51">
        <f aca="true" t="shared" si="6" ref="F13:F33">E13*11.61</f>
        <v>162.54</v>
      </c>
      <c r="G13" s="52">
        <f aca="true" t="shared" si="7" ref="G13:G33">F13*174/1000</f>
        <v>28.281959999999998</v>
      </c>
      <c r="H13" s="39"/>
      <c r="I13" s="9"/>
      <c r="J13" s="54"/>
      <c r="K13" s="54"/>
      <c r="L13" s="53"/>
      <c r="M13" s="53"/>
      <c r="N13" s="54"/>
      <c r="O13" s="54"/>
      <c r="P13" s="54">
        <f aca="true" t="shared" si="8" ref="P13:P33">D13+G13+J13+O13</f>
        <v>141.4098</v>
      </c>
      <c r="Q13" s="19">
        <f aca="true" t="shared" si="9" ref="Q13:Q33">P13/174*15</f>
        <v>12.1905</v>
      </c>
      <c r="R13" s="19">
        <f aca="true" t="shared" si="10" ref="R13:R33">P13/174*20</f>
        <v>16.253999999999998</v>
      </c>
      <c r="S13" s="18">
        <f aca="true" t="shared" si="11" ref="S13:S33">P13/174*16</f>
        <v>13.0032</v>
      </c>
      <c r="T13" s="65">
        <f aca="true" t="shared" si="12" ref="T13:T33">SUM(Q13:S13)</f>
        <v>41.4477</v>
      </c>
      <c r="U13" s="19">
        <f aca="true" t="shared" si="13" ref="U13:U33">P13/174*22</f>
        <v>17.8794</v>
      </c>
      <c r="V13" s="89">
        <f aca="true" t="shared" si="14" ref="V13:V33">P13/174*21</f>
        <v>17.0667</v>
      </c>
      <c r="W13" s="68">
        <f aca="true" t="shared" si="15" ref="W13:W33">U13+V13</f>
        <v>34.9461</v>
      </c>
      <c r="X13" s="71">
        <f t="shared" si="0"/>
        <v>17.0667</v>
      </c>
      <c r="Y13" s="52">
        <f t="shared" si="1"/>
        <v>18.6921</v>
      </c>
      <c r="Z13" s="55">
        <f t="shared" si="2"/>
        <v>12.1905</v>
      </c>
      <c r="AA13" s="19">
        <f t="shared" si="3"/>
        <v>17.0667</v>
      </c>
      <c r="AB13" s="68">
        <f aca="true" t="shared" si="16" ref="AB13:AB33">SUM(Y13:AA13)</f>
        <v>47.9493</v>
      </c>
      <c r="AC13" s="68">
        <f aca="true" t="shared" si="17" ref="AC13:AC33">T13+W13+X13+AB13</f>
        <v>141.4098</v>
      </c>
      <c r="AD13" s="67">
        <f aca="true" t="shared" si="18" ref="AD13:AD33">$AD$34/$AC$34*AC13</f>
        <v>141.43427367006905</v>
      </c>
    </row>
    <row r="14" spans="1:30" s="1" customFormat="1" ht="12.75">
      <c r="A14" s="50" t="s">
        <v>23</v>
      </c>
      <c r="B14" s="80">
        <v>56</v>
      </c>
      <c r="C14" s="51">
        <f t="shared" si="4"/>
        <v>650.16</v>
      </c>
      <c r="D14" s="52">
        <f t="shared" si="5"/>
        <v>113.12783999999999</v>
      </c>
      <c r="E14" s="77">
        <v>7</v>
      </c>
      <c r="F14" s="51">
        <f t="shared" si="6"/>
        <v>81.27</v>
      </c>
      <c r="G14" s="52">
        <f t="shared" si="7"/>
        <v>14.140979999999999</v>
      </c>
      <c r="H14" s="33"/>
      <c r="I14" s="59"/>
      <c r="J14" s="54"/>
      <c r="K14" s="54"/>
      <c r="L14" s="53"/>
      <c r="M14" s="53"/>
      <c r="N14" s="54"/>
      <c r="O14" s="54"/>
      <c r="P14" s="54">
        <f t="shared" si="8"/>
        <v>127.26881999999999</v>
      </c>
      <c r="Q14" s="19">
        <f t="shared" si="9"/>
        <v>10.971449999999999</v>
      </c>
      <c r="R14" s="19">
        <f t="shared" si="10"/>
        <v>14.628599999999999</v>
      </c>
      <c r="S14" s="18">
        <f t="shared" si="11"/>
        <v>11.702879999999999</v>
      </c>
      <c r="T14" s="65">
        <f t="shared" si="12"/>
        <v>37.302929999999996</v>
      </c>
      <c r="U14" s="19">
        <f t="shared" si="13"/>
        <v>16.091459999999998</v>
      </c>
      <c r="V14" s="89">
        <f t="shared" si="14"/>
        <v>15.360029999999998</v>
      </c>
      <c r="W14" s="68">
        <f t="shared" si="15"/>
        <v>31.451489999999996</v>
      </c>
      <c r="X14" s="71">
        <f t="shared" si="0"/>
        <v>15.360029999999998</v>
      </c>
      <c r="Y14" s="52">
        <f t="shared" si="1"/>
        <v>16.822889999999997</v>
      </c>
      <c r="Z14" s="55">
        <f t="shared" si="2"/>
        <v>10.971449999999999</v>
      </c>
      <c r="AA14" s="19">
        <f t="shared" si="3"/>
        <v>15.360029999999998</v>
      </c>
      <c r="AB14" s="68">
        <f t="shared" si="16"/>
        <v>43.15437</v>
      </c>
      <c r="AC14" s="68">
        <f t="shared" si="17"/>
        <v>127.26881999999999</v>
      </c>
      <c r="AD14" s="67">
        <f t="shared" si="18"/>
        <v>127.29084630306215</v>
      </c>
    </row>
    <row r="15" spans="1:30" s="1" customFormat="1" ht="12.75">
      <c r="A15" s="1" t="s">
        <v>24</v>
      </c>
      <c r="B15" s="80">
        <v>20</v>
      </c>
      <c r="C15" s="51">
        <f t="shared" si="4"/>
        <v>232.2</v>
      </c>
      <c r="D15" s="52">
        <f t="shared" si="5"/>
        <v>40.4028</v>
      </c>
      <c r="E15" s="78">
        <v>5</v>
      </c>
      <c r="F15" s="51">
        <f t="shared" si="6"/>
        <v>58.05</v>
      </c>
      <c r="G15" s="55">
        <f t="shared" si="7"/>
        <v>10.1007</v>
      </c>
      <c r="H15" s="18"/>
      <c r="I15" s="18"/>
      <c r="J15" s="71"/>
      <c r="K15" s="54"/>
      <c r="L15" s="53"/>
      <c r="M15" s="53"/>
      <c r="N15" s="54"/>
      <c r="O15" s="54"/>
      <c r="P15" s="54">
        <f t="shared" si="8"/>
        <v>50.5035</v>
      </c>
      <c r="Q15" s="19">
        <f t="shared" si="9"/>
        <v>4.35375</v>
      </c>
      <c r="R15" s="19">
        <f t="shared" si="10"/>
        <v>5.805</v>
      </c>
      <c r="S15" s="19">
        <f t="shared" si="11"/>
        <v>4.644</v>
      </c>
      <c r="T15" s="65">
        <f t="shared" si="12"/>
        <v>14.80275</v>
      </c>
      <c r="U15" s="19">
        <f t="shared" si="13"/>
        <v>6.3855</v>
      </c>
      <c r="V15" s="89">
        <f t="shared" si="14"/>
        <v>6.09525</v>
      </c>
      <c r="W15" s="68">
        <f t="shared" si="15"/>
        <v>12.48075</v>
      </c>
      <c r="X15" s="71">
        <f t="shared" si="0"/>
        <v>6.09525</v>
      </c>
      <c r="Y15" s="52">
        <f t="shared" si="1"/>
        <v>6.67575</v>
      </c>
      <c r="Z15" s="55">
        <f t="shared" si="2"/>
        <v>4.35375</v>
      </c>
      <c r="AA15" s="19">
        <f t="shared" si="3"/>
        <v>6.09525</v>
      </c>
      <c r="AB15" s="68">
        <f t="shared" si="16"/>
        <v>17.12475</v>
      </c>
      <c r="AC15" s="68">
        <f t="shared" si="17"/>
        <v>50.503499999999995</v>
      </c>
      <c r="AD15" s="67">
        <f t="shared" si="18"/>
        <v>50.51224059645323</v>
      </c>
    </row>
    <row r="16" spans="1:30" s="1" customFormat="1" ht="12.75">
      <c r="A16" s="50" t="s">
        <v>25</v>
      </c>
      <c r="B16" s="81">
        <v>165</v>
      </c>
      <c r="C16" s="51">
        <f t="shared" si="4"/>
        <v>1915.6499999999999</v>
      </c>
      <c r="D16" s="52">
        <f t="shared" si="5"/>
        <v>333.32309999999995</v>
      </c>
      <c r="E16" s="75">
        <v>29</v>
      </c>
      <c r="F16" s="51">
        <f t="shared" si="6"/>
        <v>336.69</v>
      </c>
      <c r="G16" s="52">
        <f t="shared" si="7"/>
        <v>58.58406</v>
      </c>
      <c r="H16" s="121">
        <v>25</v>
      </c>
      <c r="I16" s="56">
        <f>H16*20.62</f>
        <v>515.5</v>
      </c>
      <c r="J16" s="52">
        <f>I16*174/1000</f>
        <v>89.697</v>
      </c>
      <c r="K16" s="51">
        <v>50</v>
      </c>
      <c r="L16" s="53"/>
      <c r="M16" s="53"/>
      <c r="N16" s="51">
        <f>K16*11.61</f>
        <v>580.5</v>
      </c>
      <c r="O16" s="52">
        <f>N16*174/1000</f>
        <v>101.007</v>
      </c>
      <c r="P16" s="54">
        <f t="shared" si="8"/>
        <v>582.6111599999999</v>
      </c>
      <c r="Q16" s="19">
        <f t="shared" si="9"/>
        <v>50.22509999999999</v>
      </c>
      <c r="R16" s="19">
        <f t="shared" si="10"/>
        <v>66.96679999999999</v>
      </c>
      <c r="S16" s="19">
        <f t="shared" si="11"/>
        <v>53.57343999999999</v>
      </c>
      <c r="T16" s="65">
        <f t="shared" si="12"/>
        <v>170.76533999999998</v>
      </c>
      <c r="U16" s="19">
        <f t="shared" si="13"/>
        <v>73.66347999999999</v>
      </c>
      <c r="V16" s="89">
        <f t="shared" si="14"/>
        <v>70.31513999999999</v>
      </c>
      <c r="W16" s="68">
        <f t="shared" si="15"/>
        <v>143.97861999999998</v>
      </c>
      <c r="X16" s="71">
        <f t="shared" si="0"/>
        <v>70.31513999999999</v>
      </c>
      <c r="Y16" s="52">
        <f t="shared" si="1"/>
        <v>77.01181999999999</v>
      </c>
      <c r="Z16" s="55">
        <f t="shared" si="2"/>
        <v>50.22509999999999</v>
      </c>
      <c r="AA16" s="19">
        <f t="shared" si="3"/>
        <v>70.31513999999999</v>
      </c>
      <c r="AB16" s="68">
        <f t="shared" si="16"/>
        <v>197.55205999999995</v>
      </c>
      <c r="AC16" s="68">
        <f t="shared" si="17"/>
        <v>582.6111599999999</v>
      </c>
      <c r="AD16" s="67">
        <f t="shared" si="18"/>
        <v>582.711992002509</v>
      </c>
    </row>
    <row r="17" spans="1:30" s="1" customFormat="1" ht="12.75">
      <c r="A17" s="50" t="s">
        <v>26</v>
      </c>
      <c r="B17" s="81">
        <v>138</v>
      </c>
      <c r="C17" s="51">
        <f t="shared" si="4"/>
        <v>1602.1799999999998</v>
      </c>
      <c r="D17" s="52">
        <f t="shared" si="5"/>
        <v>278.7793199999999</v>
      </c>
      <c r="E17" s="75">
        <v>18</v>
      </c>
      <c r="F17" s="51">
        <f t="shared" si="6"/>
        <v>208.98</v>
      </c>
      <c r="G17" s="52">
        <f t="shared" si="7"/>
        <v>36.362519999999996</v>
      </c>
      <c r="H17" s="56"/>
      <c r="I17" s="56"/>
      <c r="J17"/>
      <c r="K17" s="54"/>
      <c r="L17" s="53"/>
      <c r="M17" s="53"/>
      <c r="N17" s="54"/>
      <c r="O17" s="54"/>
      <c r="P17" s="54">
        <f t="shared" si="8"/>
        <v>315.14183999999995</v>
      </c>
      <c r="Q17" s="19">
        <f t="shared" si="9"/>
        <v>27.167399999999994</v>
      </c>
      <c r="R17" s="19">
        <f t="shared" si="10"/>
        <v>36.22319999999999</v>
      </c>
      <c r="S17" s="19">
        <f t="shared" si="11"/>
        <v>28.978559999999995</v>
      </c>
      <c r="T17" s="65">
        <f t="shared" si="12"/>
        <v>92.36915999999998</v>
      </c>
      <c r="U17" s="19">
        <f t="shared" si="13"/>
        <v>39.84551999999999</v>
      </c>
      <c r="V17" s="89">
        <f t="shared" si="14"/>
        <v>38.03435999999999</v>
      </c>
      <c r="W17" s="68">
        <f t="shared" si="15"/>
        <v>77.87987999999999</v>
      </c>
      <c r="X17" s="71">
        <f t="shared" si="0"/>
        <v>38.03435999999999</v>
      </c>
      <c r="Y17" s="52">
        <f t="shared" si="1"/>
        <v>41.656679999999994</v>
      </c>
      <c r="Z17" s="55">
        <f t="shared" si="2"/>
        <v>27.167399999999994</v>
      </c>
      <c r="AA17" s="19">
        <f t="shared" si="3"/>
        <v>38.03435999999999</v>
      </c>
      <c r="AB17" s="68">
        <f t="shared" si="16"/>
        <v>106.85843999999997</v>
      </c>
      <c r="AC17" s="68">
        <f t="shared" si="17"/>
        <v>315.14183999999995</v>
      </c>
      <c r="AD17" s="67">
        <f t="shared" si="18"/>
        <v>315.19638132186816</v>
      </c>
    </row>
    <row r="18" spans="1:30" s="1" customFormat="1" ht="12.75">
      <c r="A18" s="50" t="s">
        <v>27</v>
      </c>
      <c r="B18" s="81">
        <v>68</v>
      </c>
      <c r="C18" s="51">
        <f t="shared" si="4"/>
        <v>789.48</v>
      </c>
      <c r="D18" s="52">
        <f t="shared" si="5"/>
        <v>137.36952</v>
      </c>
      <c r="E18" s="75">
        <v>27</v>
      </c>
      <c r="F18" s="51">
        <f t="shared" si="6"/>
        <v>313.46999999999997</v>
      </c>
      <c r="G18" s="52">
        <f t="shared" si="7"/>
        <v>54.54377999999999</v>
      </c>
      <c r="H18" s="56">
        <v>50</v>
      </c>
      <c r="I18" s="56">
        <f>H18*20.62</f>
        <v>1031</v>
      </c>
      <c r="J18" s="52">
        <f>I18*174/1000</f>
        <v>179.394</v>
      </c>
      <c r="K18" s="54"/>
      <c r="L18" s="53"/>
      <c r="M18" s="53"/>
      <c r="N18" s="54"/>
      <c r="O18" s="54"/>
      <c r="P18" s="54">
        <f t="shared" si="8"/>
        <v>371.3073</v>
      </c>
      <c r="Q18" s="19">
        <f t="shared" si="9"/>
        <v>32.00925</v>
      </c>
      <c r="R18" s="19">
        <f t="shared" si="10"/>
        <v>42.679</v>
      </c>
      <c r="S18" s="19">
        <f t="shared" si="11"/>
        <v>34.1432</v>
      </c>
      <c r="T18" s="65">
        <f t="shared" si="12"/>
        <v>108.83145000000002</v>
      </c>
      <c r="U18" s="19">
        <f t="shared" si="13"/>
        <v>46.9469</v>
      </c>
      <c r="V18" s="89">
        <f t="shared" si="14"/>
        <v>44.81295</v>
      </c>
      <c r="W18" s="68">
        <f t="shared" si="15"/>
        <v>91.75985</v>
      </c>
      <c r="X18" s="71">
        <f t="shared" si="0"/>
        <v>44.81295</v>
      </c>
      <c r="Y18" s="52">
        <f t="shared" si="1"/>
        <v>49.08085</v>
      </c>
      <c r="Z18" s="55">
        <f t="shared" si="2"/>
        <v>32.00925</v>
      </c>
      <c r="AA18" s="19">
        <f t="shared" si="3"/>
        <v>44.81295</v>
      </c>
      <c r="AB18" s="68">
        <f t="shared" si="16"/>
        <v>125.90305000000001</v>
      </c>
      <c r="AC18" s="68">
        <f t="shared" si="17"/>
        <v>371.30730000000005</v>
      </c>
      <c r="AD18" s="67">
        <f t="shared" si="18"/>
        <v>371.37156182877317</v>
      </c>
    </row>
    <row r="19" spans="1:30" s="1" customFormat="1" ht="12.75">
      <c r="A19" s="50" t="s">
        <v>28</v>
      </c>
      <c r="B19" s="81">
        <v>38</v>
      </c>
      <c r="C19" s="51">
        <f t="shared" si="4"/>
        <v>441.17999999999995</v>
      </c>
      <c r="D19" s="52">
        <f t="shared" si="5"/>
        <v>76.76531999999999</v>
      </c>
      <c r="E19" s="75">
        <v>11</v>
      </c>
      <c r="F19" s="51">
        <f t="shared" si="6"/>
        <v>127.71</v>
      </c>
      <c r="G19" s="52">
        <f t="shared" si="7"/>
        <v>22.221539999999997</v>
      </c>
      <c r="H19" s="56"/>
      <c r="I19" s="57"/>
      <c r="J19" s="52"/>
      <c r="K19" s="54"/>
      <c r="L19" s="53"/>
      <c r="M19" s="53"/>
      <c r="N19" s="54"/>
      <c r="O19" s="54"/>
      <c r="P19" s="54">
        <f t="shared" si="8"/>
        <v>98.98685999999998</v>
      </c>
      <c r="Q19" s="19">
        <f t="shared" si="9"/>
        <v>8.533349999999999</v>
      </c>
      <c r="R19" s="19">
        <f t="shared" si="10"/>
        <v>11.377799999999997</v>
      </c>
      <c r="S19" s="19">
        <f t="shared" si="11"/>
        <v>9.102239999999998</v>
      </c>
      <c r="T19" s="65">
        <f t="shared" si="12"/>
        <v>29.013389999999994</v>
      </c>
      <c r="U19" s="19">
        <f t="shared" si="13"/>
        <v>12.515579999999998</v>
      </c>
      <c r="V19" s="89">
        <f t="shared" si="14"/>
        <v>11.946689999999998</v>
      </c>
      <c r="W19" s="68">
        <f t="shared" si="15"/>
        <v>24.462269999999997</v>
      </c>
      <c r="X19" s="71">
        <f t="shared" si="0"/>
        <v>11.946689999999998</v>
      </c>
      <c r="Y19" s="52">
        <f t="shared" si="1"/>
        <v>13.084469999999998</v>
      </c>
      <c r="Z19" s="55">
        <f t="shared" si="2"/>
        <v>8.533349999999999</v>
      </c>
      <c r="AA19" s="19">
        <f t="shared" si="3"/>
        <v>11.946689999999998</v>
      </c>
      <c r="AB19" s="68">
        <f t="shared" si="16"/>
        <v>33.56450999999999</v>
      </c>
      <c r="AC19" s="68">
        <f t="shared" si="17"/>
        <v>98.98685999999998</v>
      </c>
      <c r="AD19" s="67">
        <f t="shared" si="18"/>
        <v>99.00399156904832</v>
      </c>
    </row>
    <row r="20" spans="1:30" s="1" customFormat="1" ht="12.75">
      <c r="A20" s="50" t="s">
        <v>29</v>
      </c>
      <c r="B20" s="81">
        <v>22</v>
      </c>
      <c r="C20" s="51">
        <f t="shared" si="4"/>
        <v>255.42</v>
      </c>
      <c r="D20" s="52">
        <f t="shared" si="5"/>
        <v>44.443079999999995</v>
      </c>
      <c r="E20" s="75">
        <v>15</v>
      </c>
      <c r="F20" s="51">
        <f t="shared" si="6"/>
        <v>174.14999999999998</v>
      </c>
      <c r="G20" s="52">
        <f t="shared" si="7"/>
        <v>30.302099999999996</v>
      </c>
      <c r="H20" s="56"/>
      <c r="I20" s="57"/>
      <c r="J20" s="52"/>
      <c r="K20" s="54"/>
      <c r="L20" s="53"/>
      <c r="M20" s="53"/>
      <c r="N20" s="54"/>
      <c r="O20" s="54"/>
      <c r="P20" s="54">
        <f t="shared" si="8"/>
        <v>74.74517999999999</v>
      </c>
      <c r="Q20" s="19">
        <f t="shared" si="9"/>
        <v>6.443549999999999</v>
      </c>
      <c r="R20" s="19">
        <f t="shared" si="10"/>
        <v>8.591399999999998</v>
      </c>
      <c r="S20" s="19">
        <f t="shared" si="11"/>
        <v>6.873119999999999</v>
      </c>
      <c r="T20" s="65">
        <f t="shared" si="12"/>
        <v>21.90807</v>
      </c>
      <c r="U20" s="19">
        <f t="shared" si="13"/>
        <v>9.450539999999998</v>
      </c>
      <c r="V20" s="89">
        <f t="shared" si="14"/>
        <v>9.020969999999998</v>
      </c>
      <c r="W20" s="68">
        <f t="shared" si="15"/>
        <v>18.471509999999995</v>
      </c>
      <c r="X20" s="71">
        <f t="shared" si="0"/>
        <v>9.020969999999998</v>
      </c>
      <c r="Y20" s="52">
        <f t="shared" si="1"/>
        <v>9.880109999999998</v>
      </c>
      <c r="Z20" s="55">
        <f t="shared" si="2"/>
        <v>6.443549999999999</v>
      </c>
      <c r="AA20" s="19">
        <f t="shared" si="3"/>
        <v>9.020969999999998</v>
      </c>
      <c r="AB20" s="68">
        <f t="shared" si="16"/>
        <v>25.344629999999995</v>
      </c>
      <c r="AC20" s="68">
        <f t="shared" si="17"/>
        <v>74.74517999999998</v>
      </c>
      <c r="AD20" s="67">
        <f t="shared" si="18"/>
        <v>74.75811608275077</v>
      </c>
    </row>
    <row r="21" spans="1:30" s="1" customFormat="1" ht="12.75">
      <c r="A21" s="50" t="s">
        <v>30</v>
      </c>
      <c r="B21" s="81">
        <v>14</v>
      </c>
      <c r="C21" s="51">
        <f t="shared" si="4"/>
        <v>162.54</v>
      </c>
      <c r="D21" s="52">
        <f t="shared" si="5"/>
        <v>28.281959999999998</v>
      </c>
      <c r="E21" s="75">
        <v>2</v>
      </c>
      <c r="F21" s="51">
        <f t="shared" si="6"/>
        <v>23.22</v>
      </c>
      <c r="G21" s="52">
        <f t="shared" si="7"/>
        <v>4.04028</v>
      </c>
      <c r="H21" s="56"/>
      <c r="I21" s="57"/>
      <c r="J21" s="52"/>
      <c r="K21" s="54"/>
      <c r="L21" s="53"/>
      <c r="M21" s="53"/>
      <c r="N21" s="54"/>
      <c r="O21" s="54"/>
      <c r="P21" s="54">
        <f t="shared" si="8"/>
        <v>32.32224</v>
      </c>
      <c r="Q21" s="19">
        <f t="shared" si="9"/>
        <v>2.7864</v>
      </c>
      <c r="R21" s="19">
        <f t="shared" si="10"/>
        <v>3.7152000000000003</v>
      </c>
      <c r="S21" s="19">
        <f t="shared" si="11"/>
        <v>2.97216</v>
      </c>
      <c r="T21" s="65">
        <f t="shared" si="12"/>
        <v>9.47376</v>
      </c>
      <c r="U21" s="19">
        <f t="shared" si="13"/>
        <v>4.086720000000001</v>
      </c>
      <c r="V21" s="89">
        <f t="shared" si="14"/>
        <v>3.90096</v>
      </c>
      <c r="W21" s="68">
        <f t="shared" si="15"/>
        <v>7.987680000000001</v>
      </c>
      <c r="X21" s="71">
        <f t="shared" si="0"/>
        <v>3.90096</v>
      </c>
      <c r="Y21" s="52">
        <f t="shared" si="1"/>
        <v>4.27248</v>
      </c>
      <c r="Z21" s="55">
        <f t="shared" si="2"/>
        <v>2.7864</v>
      </c>
      <c r="AA21" s="19">
        <f t="shared" si="3"/>
        <v>3.90096</v>
      </c>
      <c r="AB21" s="68">
        <f t="shared" si="16"/>
        <v>10.95984</v>
      </c>
      <c r="AC21" s="68">
        <f t="shared" si="17"/>
        <v>32.32224000000001</v>
      </c>
      <c r="AD21" s="67">
        <f t="shared" si="18"/>
        <v>32.32783398173008</v>
      </c>
    </row>
    <row r="22" spans="1:30" s="1" customFormat="1" ht="12.75">
      <c r="A22" s="50" t="s">
        <v>31</v>
      </c>
      <c r="B22" s="81">
        <v>12</v>
      </c>
      <c r="C22" s="51">
        <f t="shared" si="4"/>
        <v>139.32</v>
      </c>
      <c r="D22" s="52">
        <f t="shared" si="5"/>
        <v>24.24168</v>
      </c>
      <c r="E22" s="75">
        <v>2</v>
      </c>
      <c r="F22" s="51">
        <f t="shared" si="6"/>
        <v>23.22</v>
      </c>
      <c r="G22" s="52">
        <f t="shared" si="7"/>
        <v>4.04028</v>
      </c>
      <c r="H22" s="56"/>
      <c r="I22" s="57"/>
      <c r="J22" s="52"/>
      <c r="K22" s="54"/>
      <c r="L22" s="53"/>
      <c r="M22" s="53"/>
      <c r="N22" s="54"/>
      <c r="O22" s="54"/>
      <c r="P22" s="54">
        <f t="shared" si="8"/>
        <v>28.281959999999998</v>
      </c>
      <c r="Q22" s="19">
        <f t="shared" si="9"/>
        <v>2.4381</v>
      </c>
      <c r="R22" s="19">
        <f t="shared" si="10"/>
        <v>3.2508</v>
      </c>
      <c r="S22" s="19">
        <f t="shared" si="11"/>
        <v>2.60064</v>
      </c>
      <c r="T22" s="65">
        <f t="shared" si="12"/>
        <v>8.28954</v>
      </c>
      <c r="U22" s="19">
        <f t="shared" si="13"/>
        <v>3.5758799999999997</v>
      </c>
      <c r="V22" s="89">
        <f t="shared" si="14"/>
        <v>3.41334</v>
      </c>
      <c r="W22" s="68">
        <f t="shared" si="15"/>
        <v>6.9892199999999995</v>
      </c>
      <c r="X22" s="71">
        <f t="shared" si="0"/>
        <v>3.41334</v>
      </c>
      <c r="Y22" s="52">
        <f t="shared" si="1"/>
        <v>3.7384199999999996</v>
      </c>
      <c r="Z22" s="55">
        <f t="shared" si="2"/>
        <v>2.4381</v>
      </c>
      <c r="AA22" s="19">
        <f t="shared" si="3"/>
        <v>3.41334</v>
      </c>
      <c r="AB22" s="68">
        <f t="shared" si="16"/>
        <v>9.58986</v>
      </c>
      <c r="AC22" s="68">
        <f t="shared" si="17"/>
        <v>28.281959999999998</v>
      </c>
      <c r="AD22" s="67">
        <f t="shared" si="18"/>
        <v>28.28685473401381</v>
      </c>
    </row>
    <row r="23" spans="1:30" s="1" customFormat="1" ht="12.75">
      <c r="A23" s="50" t="s">
        <v>32</v>
      </c>
      <c r="B23" s="81">
        <v>10</v>
      </c>
      <c r="C23" s="51">
        <f t="shared" si="4"/>
        <v>116.1</v>
      </c>
      <c r="D23" s="52">
        <f t="shared" si="5"/>
        <v>20.2014</v>
      </c>
      <c r="E23" s="75">
        <v>3</v>
      </c>
      <c r="F23" s="51">
        <f t="shared" si="6"/>
        <v>34.83</v>
      </c>
      <c r="G23" s="52">
        <f t="shared" si="7"/>
        <v>6.06042</v>
      </c>
      <c r="H23" s="56"/>
      <c r="I23" s="57"/>
      <c r="J23" s="52"/>
      <c r="K23" s="54"/>
      <c r="L23" s="53"/>
      <c r="M23" s="53"/>
      <c r="N23" s="54"/>
      <c r="O23" s="54"/>
      <c r="P23" s="54">
        <f t="shared" si="8"/>
        <v>26.26182</v>
      </c>
      <c r="Q23" s="19">
        <f t="shared" si="9"/>
        <v>2.2639500000000004</v>
      </c>
      <c r="R23" s="19">
        <f t="shared" si="10"/>
        <v>3.0186</v>
      </c>
      <c r="S23" s="19">
        <f t="shared" si="11"/>
        <v>2.41488</v>
      </c>
      <c r="T23" s="65">
        <f t="shared" si="12"/>
        <v>7.697430000000001</v>
      </c>
      <c r="U23" s="19">
        <f t="shared" si="13"/>
        <v>3.32046</v>
      </c>
      <c r="V23" s="89">
        <f t="shared" si="14"/>
        <v>3.16953</v>
      </c>
      <c r="W23" s="68">
        <f t="shared" si="15"/>
        <v>6.489990000000001</v>
      </c>
      <c r="X23" s="71">
        <f t="shared" si="0"/>
        <v>3.16953</v>
      </c>
      <c r="Y23" s="52">
        <f t="shared" si="1"/>
        <v>3.4713900000000004</v>
      </c>
      <c r="Z23" s="55">
        <f t="shared" si="2"/>
        <v>2.2639500000000004</v>
      </c>
      <c r="AA23" s="19">
        <f t="shared" si="3"/>
        <v>3.16953</v>
      </c>
      <c r="AB23" s="68">
        <f t="shared" si="16"/>
        <v>8.90487</v>
      </c>
      <c r="AC23" s="68">
        <f t="shared" si="17"/>
        <v>26.26182</v>
      </c>
      <c r="AD23" s="67">
        <f t="shared" si="18"/>
        <v>26.266365110155682</v>
      </c>
    </row>
    <row r="24" spans="1:30" s="1" customFormat="1" ht="12.75">
      <c r="A24" s="50" t="s">
        <v>33</v>
      </c>
      <c r="B24" s="81">
        <v>18</v>
      </c>
      <c r="C24" s="51">
        <f t="shared" si="4"/>
        <v>208.98</v>
      </c>
      <c r="D24" s="52">
        <f t="shared" si="5"/>
        <v>36.362519999999996</v>
      </c>
      <c r="E24" s="75">
        <v>3</v>
      </c>
      <c r="F24" s="51">
        <f t="shared" si="6"/>
        <v>34.83</v>
      </c>
      <c r="G24" s="52">
        <f t="shared" si="7"/>
        <v>6.06042</v>
      </c>
      <c r="H24" s="56"/>
      <c r="I24" s="57"/>
      <c r="J24" s="52"/>
      <c r="K24" s="54"/>
      <c r="L24" s="53"/>
      <c r="M24" s="53"/>
      <c r="N24" s="54"/>
      <c r="O24" s="54"/>
      <c r="P24" s="54">
        <f t="shared" si="8"/>
        <v>42.42294</v>
      </c>
      <c r="Q24" s="19">
        <f t="shared" si="9"/>
        <v>3.6571499999999997</v>
      </c>
      <c r="R24" s="19">
        <f t="shared" si="10"/>
        <v>4.876199999999999</v>
      </c>
      <c r="S24" s="19">
        <f t="shared" si="11"/>
        <v>3.9009599999999995</v>
      </c>
      <c r="T24" s="65">
        <f t="shared" si="12"/>
        <v>12.434309999999998</v>
      </c>
      <c r="U24" s="19">
        <f t="shared" si="13"/>
        <v>5.36382</v>
      </c>
      <c r="V24" s="89">
        <f t="shared" si="14"/>
        <v>5.12001</v>
      </c>
      <c r="W24" s="68">
        <f t="shared" si="15"/>
        <v>10.48383</v>
      </c>
      <c r="X24" s="71">
        <f t="shared" si="0"/>
        <v>5.12001</v>
      </c>
      <c r="Y24" s="52">
        <f t="shared" si="1"/>
        <v>5.6076299999999994</v>
      </c>
      <c r="Z24" s="55">
        <f t="shared" si="2"/>
        <v>3.6571499999999997</v>
      </c>
      <c r="AA24" s="19">
        <f t="shared" si="3"/>
        <v>5.12001</v>
      </c>
      <c r="AB24" s="68">
        <f t="shared" si="16"/>
        <v>14.384789999999999</v>
      </c>
      <c r="AC24" s="68">
        <f t="shared" si="17"/>
        <v>42.42294</v>
      </c>
      <c r="AD24" s="67">
        <f t="shared" si="18"/>
        <v>42.430282101020715</v>
      </c>
    </row>
    <row r="25" spans="1:30" s="1" customFormat="1" ht="12.75">
      <c r="A25" s="50" t="s">
        <v>34</v>
      </c>
      <c r="B25" s="81">
        <v>15</v>
      </c>
      <c r="C25" s="51">
        <f t="shared" si="4"/>
        <v>174.14999999999998</v>
      </c>
      <c r="D25" s="52">
        <f t="shared" si="5"/>
        <v>30.302099999999996</v>
      </c>
      <c r="E25" s="75">
        <v>7</v>
      </c>
      <c r="F25" s="51">
        <f t="shared" si="6"/>
        <v>81.27</v>
      </c>
      <c r="G25" s="52">
        <f t="shared" si="7"/>
        <v>14.140979999999999</v>
      </c>
      <c r="H25" s="56"/>
      <c r="I25" s="57"/>
      <c r="J25" s="52"/>
      <c r="K25" s="54"/>
      <c r="L25" s="53"/>
      <c r="M25" s="53"/>
      <c r="N25" s="54"/>
      <c r="O25" s="54"/>
      <c r="P25" s="54">
        <f t="shared" si="8"/>
        <v>44.443079999999995</v>
      </c>
      <c r="Q25" s="19">
        <f t="shared" si="9"/>
        <v>3.8312999999999997</v>
      </c>
      <c r="R25" s="19">
        <f t="shared" si="10"/>
        <v>5.1084</v>
      </c>
      <c r="S25" s="19">
        <f t="shared" si="11"/>
        <v>4.08672</v>
      </c>
      <c r="T25" s="65">
        <f t="shared" si="12"/>
        <v>13.026419999999998</v>
      </c>
      <c r="U25" s="19">
        <f t="shared" si="13"/>
        <v>5.61924</v>
      </c>
      <c r="V25" s="89">
        <f t="shared" si="14"/>
        <v>5.36382</v>
      </c>
      <c r="W25" s="68">
        <f t="shared" si="15"/>
        <v>10.983059999999998</v>
      </c>
      <c r="X25" s="71">
        <f t="shared" si="0"/>
        <v>5.36382</v>
      </c>
      <c r="Y25" s="52">
        <f t="shared" si="1"/>
        <v>5.8746599999999995</v>
      </c>
      <c r="Z25" s="55">
        <f t="shared" si="2"/>
        <v>3.8312999999999997</v>
      </c>
      <c r="AA25" s="19">
        <f t="shared" si="3"/>
        <v>5.36382</v>
      </c>
      <c r="AB25" s="68">
        <f t="shared" si="16"/>
        <v>15.069779999999998</v>
      </c>
      <c r="AC25" s="68">
        <f t="shared" si="17"/>
        <v>44.443079999999995</v>
      </c>
      <c r="AD25" s="67">
        <f t="shared" si="18"/>
        <v>44.45077172487884</v>
      </c>
    </row>
    <row r="26" spans="1:30" s="1" customFormat="1" ht="12.75">
      <c r="A26" s="50" t="s">
        <v>35</v>
      </c>
      <c r="B26" s="81">
        <v>4</v>
      </c>
      <c r="C26" s="51">
        <f t="shared" si="4"/>
        <v>46.44</v>
      </c>
      <c r="D26" s="52">
        <f t="shared" si="5"/>
        <v>8.08056</v>
      </c>
      <c r="E26" s="75">
        <v>0</v>
      </c>
      <c r="F26" s="51">
        <f t="shared" si="6"/>
        <v>0</v>
      </c>
      <c r="G26" s="52">
        <f t="shared" si="7"/>
        <v>0</v>
      </c>
      <c r="H26" s="56"/>
      <c r="I26" s="57"/>
      <c r="J26" s="52"/>
      <c r="K26" s="54"/>
      <c r="L26" s="53"/>
      <c r="M26" s="53"/>
      <c r="N26" s="54"/>
      <c r="O26" s="54"/>
      <c r="P26" s="54">
        <f t="shared" si="8"/>
        <v>8.08056</v>
      </c>
      <c r="Q26" s="19">
        <f t="shared" si="9"/>
        <v>0.6966</v>
      </c>
      <c r="R26" s="19">
        <f t="shared" si="10"/>
        <v>0.9288000000000001</v>
      </c>
      <c r="S26" s="19">
        <f t="shared" si="11"/>
        <v>0.74304</v>
      </c>
      <c r="T26" s="65">
        <f t="shared" si="12"/>
        <v>2.36844</v>
      </c>
      <c r="U26" s="19">
        <f t="shared" si="13"/>
        <v>1.0216800000000001</v>
      </c>
      <c r="V26" s="89">
        <f t="shared" si="14"/>
        <v>0.97524</v>
      </c>
      <c r="W26" s="68">
        <f t="shared" si="15"/>
        <v>1.9969200000000003</v>
      </c>
      <c r="X26" s="71">
        <f t="shared" si="0"/>
        <v>0.97524</v>
      </c>
      <c r="Y26" s="52">
        <f t="shared" si="1"/>
        <v>1.06812</v>
      </c>
      <c r="Z26" s="55">
        <f t="shared" si="2"/>
        <v>0.6966</v>
      </c>
      <c r="AA26" s="19">
        <f t="shared" si="3"/>
        <v>0.97524</v>
      </c>
      <c r="AB26" s="68">
        <f t="shared" si="16"/>
        <v>2.73996</v>
      </c>
      <c r="AC26" s="68">
        <f t="shared" si="17"/>
        <v>8.080560000000002</v>
      </c>
      <c r="AD26" s="67">
        <f t="shared" si="18"/>
        <v>8.08195849543252</v>
      </c>
    </row>
    <row r="27" spans="1:30" s="1" customFormat="1" ht="12.75">
      <c r="A27" s="50" t="s">
        <v>36</v>
      </c>
      <c r="B27" s="81">
        <v>18</v>
      </c>
      <c r="C27" s="51">
        <f t="shared" si="4"/>
        <v>208.98</v>
      </c>
      <c r="D27" s="52">
        <f t="shared" si="5"/>
        <v>36.362519999999996</v>
      </c>
      <c r="E27" s="75">
        <v>4</v>
      </c>
      <c r="F27" s="51">
        <f t="shared" si="6"/>
        <v>46.44</v>
      </c>
      <c r="G27" s="52">
        <f t="shared" si="7"/>
        <v>8.08056</v>
      </c>
      <c r="H27" s="56"/>
      <c r="I27" s="57"/>
      <c r="J27" s="52"/>
      <c r="K27" s="54"/>
      <c r="L27" s="53"/>
      <c r="M27" s="53"/>
      <c r="N27" s="54"/>
      <c r="O27" s="54"/>
      <c r="P27" s="54">
        <f t="shared" si="8"/>
        <v>44.443079999999995</v>
      </c>
      <c r="Q27" s="19">
        <f t="shared" si="9"/>
        <v>3.8312999999999997</v>
      </c>
      <c r="R27" s="19">
        <f t="shared" si="10"/>
        <v>5.1084</v>
      </c>
      <c r="S27" s="19">
        <f t="shared" si="11"/>
        <v>4.08672</v>
      </c>
      <c r="T27" s="65">
        <f t="shared" si="12"/>
        <v>13.026419999999998</v>
      </c>
      <c r="U27" s="19">
        <f t="shared" si="13"/>
        <v>5.61924</v>
      </c>
      <c r="V27" s="89">
        <f t="shared" si="14"/>
        <v>5.36382</v>
      </c>
      <c r="W27" s="68">
        <f t="shared" si="15"/>
        <v>10.983059999999998</v>
      </c>
      <c r="X27" s="71">
        <f t="shared" si="0"/>
        <v>5.36382</v>
      </c>
      <c r="Y27" s="52">
        <f t="shared" si="1"/>
        <v>5.8746599999999995</v>
      </c>
      <c r="Z27" s="55">
        <f t="shared" si="2"/>
        <v>3.8312999999999997</v>
      </c>
      <c r="AA27" s="19">
        <f t="shared" si="3"/>
        <v>5.36382</v>
      </c>
      <c r="AB27" s="68">
        <f t="shared" si="16"/>
        <v>15.069779999999998</v>
      </c>
      <c r="AC27" s="68">
        <f t="shared" si="17"/>
        <v>44.443079999999995</v>
      </c>
      <c r="AD27" s="67">
        <f t="shared" si="18"/>
        <v>44.45077172487884</v>
      </c>
    </row>
    <row r="28" spans="1:30" s="1" customFormat="1" ht="12.75">
      <c r="A28" s="50" t="s">
        <v>37</v>
      </c>
      <c r="B28" s="81">
        <v>40</v>
      </c>
      <c r="C28" s="51">
        <f t="shared" si="4"/>
        <v>464.4</v>
      </c>
      <c r="D28" s="52">
        <f t="shared" si="5"/>
        <v>80.8056</v>
      </c>
      <c r="E28" s="75">
        <v>24</v>
      </c>
      <c r="F28" s="51">
        <f t="shared" si="6"/>
        <v>278.64</v>
      </c>
      <c r="G28" s="52">
        <f t="shared" si="7"/>
        <v>48.48336</v>
      </c>
      <c r="H28" s="56"/>
      <c r="I28" s="57"/>
      <c r="J28" s="52"/>
      <c r="K28" s="54"/>
      <c r="L28" s="53"/>
      <c r="M28" s="53"/>
      <c r="N28" s="54"/>
      <c r="O28" s="54"/>
      <c r="P28" s="54">
        <f t="shared" si="8"/>
        <v>129.28896</v>
      </c>
      <c r="Q28" s="19">
        <f t="shared" si="9"/>
        <v>11.1456</v>
      </c>
      <c r="R28" s="19">
        <f t="shared" si="10"/>
        <v>14.860800000000001</v>
      </c>
      <c r="S28" s="19">
        <f t="shared" si="11"/>
        <v>11.88864</v>
      </c>
      <c r="T28" s="65">
        <f t="shared" si="12"/>
        <v>37.89504</v>
      </c>
      <c r="U28" s="19">
        <f t="shared" si="13"/>
        <v>16.346880000000002</v>
      </c>
      <c r="V28" s="89">
        <f t="shared" si="14"/>
        <v>15.60384</v>
      </c>
      <c r="W28" s="68">
        <f t="shared" si="15"/>
        <v>31.950720000000004</v>
      </c>
      <c r="X28" s="71">
        <f t="shared" si="0"/>
        <v>15.60384</v>
      </c>
      <c r="Y28" s="52">
        <f t="shared" si="1"/>
        <v>17.08992</v>
      </c>
      <c r="Z28" s="55">
        <f t="shared" si="2"/>
        <v>11.1456</v>
      </c>
      <c r="AA28" s="19">
        <f t="shared" si="3"/>
        <v>15.60384</v>
      </c>
      <c r="AB28" s="68">
        <f t="shared" si="16"/>
        <v>43.83936</v>
      </c>
      <c r="AC28" s="68">
        <f t="shared" si="17"/>
        <v>129.28896000000003</v>
      </c>
      <c r="AD28" s="67">
        <f t="shared" si="18"/>
        <v>129.31133592692032</v>
      </c>
    </row>
    <row r="29" spans="1:30" s="1" customFormat="1" ht="12.75">
      <c r="A29" s="50" t="s">
        <v>38</v>
      </c>
      <c r="B29" s="81">
        <v>22</v>
      </c>
      <c r="C29" s="51">
        <f t="shared" si="4"/>
        <v>255.42</v>
      </c>
      <c r="D29" s="52">
        <f t="shared" si="5"/>
        <v>44.443079999999995</v>
      </c>
      <c r="E29" s="75">
        <v>3</v>
      </c>
      <c r="F29" s="51">
        <f t="shared" si="6"/>
        <v>34.83</v>
      </c>
      <c r="G29" s="52">
        <f t="shared" si="7"/>
        <v>6.06042</v>
      </c>
      <c r="H29" s="56"/>
      <c r="I29" s="57"/>
      <c r="J29" s="52"/>
      <c r="K29"/>
      <c r="L29"/>
      <c r="M29" s="53"/>
      <c r="N29" s="54"/>
      <c r="O29" s="54"/>
      <c r="P29" s="54">
        <f t="shared" si="8"/>
        <v>50.503499999999995</v>
      </c>
      <c r="Q29" s="19">
        <f t="shared" si="9"/>
        <v>4.353749999999999</v>
      </c>
      <c r="R29" s="19">
        <f t="shared" si="10"/>
        <v>5.804999999999999</v>
      </c>
      <c r="S29" s="19">
        <f t="shared" si="11"/>
        <v>4.643999999999999</v>
      </c>
      <c r="T29" s="65">
        <f t="shared" si="12"/>
        <v>14.802749999999996</v>
      </c>
      <c r="U29" s="19">
        <f t="shared" si="13"/>
        <v>6.385499999999999</v>
      </c>
      <c r="V29" s="89">
        <f t="shared" si="14"/>
        <v>6.095249999999999</v>
      </c>
      <c r="W29" s="68">
        <f t="shared" si="15"/>
        <v>12.480749999999997</v>
      </c>
      <c r="X29" s="71">
        <f t="shared" si="0"/>
        <v>6.095249999999999</v>
      </c>
      <c r="Y29" s="52">
        <f t="shared" si="1"/>
        <v>6.675749999999999</v>
      </c>
      <c r="Z29" s="55">
        <f t="shared" si="2"/>
        <v>4.353749999999999</v>
      </c>
      <c r="AA29" s="19">
        <f t="shared" si="3"/>
        <v>6.095249999999999</v>
      </c>
      <c r="AB29" s="68">
        <f t="shared" si="16"/>
        <v>17.12475</v>
      </c>
      <c r="AC29" s="68">
        <f t="shared" si="17"/>
        <v>50.50349999999999</v>
      </c>
      <c r="AD29" s="67">
        <f t="shared" si="18"/>
        <v>50.512240596453225</v>
      </c>
    </row>
    <row r="30" spans="1:30" s="1" customFormat="1" ht="12.75">
      <c r="A30" s="50" t="s">
        <v>39</v>
      </c>
      <c r="B30" s="81">
        <v>9</v>
      </c>
      <c r="C30" s="51">
        <f t="shared" si="4"/>
        <v>104.49</v>
      </c>
      <c r="D30" s="52">
        <f t="shared" si="5"/>
        <v>18.181259999999998</v>
      </c>
      <c r="E30" s="75">
        <v>0</v>
      </c>
      <c r="F30" s="51">
        <f t="shared" si="6"/>
        <v>0</v>
      </c>
      <c r="G30" s="52">
        <f t="shared" si="7"/>
        <v>0</v>
      </c>
      <c r="H30" s="56"/>
      <c r="I30" s="57"/>
      <c r="J30" s="52"/>
      <c r="K30" s="54"/>
      <c r="L30" s="53"/>
      <c r="M30" s="53"/>
      <c r="N30" s="54"/>
      <c r="O30" s="54"/>
      <c r="P30" s="54">
        <f t="shared" si="8"/>
        <v>18.181259999999998</v>
      </c>
      <c r="Q30" s="19">
        <f t="shared" si="9"/>
        <v>1.5673499999999998</v>
      </c>
      <c r="R30" s="19">
        <f t="shared" si="10"/>
        <v>2.0898</v>
      </c>
      <c r="S30" s="19">
        <f t="shared" si="11"/>
        <v>1.6718399999999998</v>
      </c>
      <c r="T30" s="65">
        <f t="shared" si="12"/>
        <v>5.328989999999999</v>
      </c>
      <c r="U30" s="19">
        <f t="shared" si="13"/>
        <v>2.29878</v>
      </c>
      <c r="V30" s="89">
        <f t="shared" si="14"/>
        <v>2.1942899999999996</v>
      </c>
      <c r="W30" s="68">
        <f t="shared" si="15"/>
        <v>4.4930699999999995</v>
      </c>
      <c r="X30" s="71">
        <f t="shared" si="0"/>
        <v>2.1942899999999996</v>
      </c>
      <c r="Y30" s="52">
        <f t="shared" si="1"/>
        <v>2.4032699999999996</v>
      </c>
      <c r="Z30" s="55">
        <f t="shared" si="2"/>
        <v>1.5673499999999998</v>
      </c>
      <c r="AA30" s="19">
        <f t="shared" si="3"/>
        <v>2.1942899999999996</v>
      </c>
      <c r="AB30" s="68">
        <f t="shared" si="16"/>
        <v>6.164909999999999</v>
      </c>
      <c r="AC30" s="68">
        <f t="shared" si="17"/>
        <v>18.181259999999998</v>
      </c>
      <c r="AD30" s="67">
        <f t="shared" si="18"/>
        <v>18.184406614723162</v>
      </c>
    </row>
    <row r="31" spans="1:30" s="1" customFormat="1" ht="12.75">
      <c r="A31" s="50" t="s">
        <v>40</v>
      </c>
      <c r="B31" s="81">
        <v>10</v>
      </c>
      <c r="C31" s="51">
        <f t="shared" si="4"/>
        <v>116.1</v>
      </c>
      <c r="D31" s="52">
        <f t="shared" si="5"/>
        <v>20.2014</v>
      </c>
      <c r="E31" s="75">
        <v>3</v>
      </c>
      <c r="F31" s="51">
        <f t="shared" si="6"/>
        <v>34.83</v>
      </c>
      <c r="G31" s="52">
        <f t="shared" si="7"/>
        <v>6.06042</v>
      </c>
      <c r="H31" s="56"/>
      <c r="I31" s="57"/>
      <c r="J31" s="52"/>
      <c r="K31" s="54"/>
      <c r="L31" s="53"/>
      <c r="M31" s="53"/>
      <c r="N31" s="54"/>
      <c r="O31" s="54"/>
      <c r="P31" s="54">
        <f t="shared" si="8"/>
        <v>26.26182</v>
      </c>
      <c r="Q31" s="19">
        <f t="shared" si="9"/>
        <v>2.2639500000000004</v>
      </c>
      <c r="R31" s="19">
        <f t="shared" si="10"/>
        <v>3.0186</v>
      </c>
      <c r="S31" s="19">
        <f t="shared" si="11"/>
        <v>2.41488</v>
      </c>
      <c r="T31" s="65">
        <f t="shared" si="12"/>
        <v>7.697430000000001</v>
      </c>
      <c r="U31" s="19">
        <f t="shared" si="13"/>
        <v>3.32046</v>
      </c>
      <c r="V31" s="89">
        <f t="shared" si="14"/>
        <v>3.16953</v>
      </c>
      <c r="W31" s="68">
        <f t="shared" si="15"/>
        <v>6.489990000000001</v>
      </c>
      <c r="X31" s="71">
        <f t="shared" si="0"/>
        <v>3.16953</v>
      </c>
      <c r="Y31" s="52">
        <f t="shared" si="1"/>
        <v>3.4713900000000004</v>
      </c>
      <c r="Z31" s="55">
        <f t="shared" si="2"/>
        <v>2.2639500000000004</v>
      </c>
      <c r="AA31" s="19">
        <f t="shared" si="3"/>
        <v>3.16953</v>
      </c>
      <c r="AB31" s="68">
        <f t="shared" si="16"/>
        <v>8.90487</v>
      </c>
      <c r="AC31" s="68">
        <f t="shared" si="17"/>
        <v>26.26182</v>
      </c>
      <c r="AD31" s="67">
        <f t="shared" si="18"/>
        <v>26.266365110155682</v>
      </c>
    </row>
    <row r="32" spans="1:30" s="1" customFormat="1" ht="12.75">
      <c r="A32" s="50" t="s">
        <v>41</v>
      </c>
      <c r="B32" s="81">
        <v>3</v>
      </c>
      <c r="C32" s="51">
        <f t="shared" si="4"/>
        <v>34.83</v>
      </c>
      <c r="D32" s="52">
        <f t="shared" si="5"/>
        <v>6.06042</v>
      </c>
      <c r="E32" s="75">
        <v>0</v>
      </c>
      <c r="F32" s="51">
        <f t="shared" si="6"/>
        <v>0</v>
      </c>
      <c r="G32" s="52">
        <f t="shared" si="7"/>
        <v>0</v>
      </c>
      <c r="H32" s="56"/>
      <c r="I32" s="58"/>
      <c r="J32" s="54"/>
      <c r="K32" s="54"/>
      <c r="L32" s="53"/>
      <c r="M32" s="53"/>
      <c r="N32" s="54"/>
      <c r="O32" s="54"/>
      <c r="P32" s="54">
        <f t="shared" si="8"/>
        <v>6.06042</v>
      </c>
      <c r="Q32" s="19">
        <f t="shared" si="9"/>
        <v>0.52245</v>
      </c>
      <c r="R32" s="19">
        <f t="shared" si="10"/>
        <v>0.6966</v>
      </c>
      <c r="S32" s="19">
        <f t="shared" si="11"/>
        <v>0.55728</v>
      </c>
      <c r="T32" s="65">
        <f t="shared" si="12"/>
        <v>1.77633</v>
      </c>
      <c r="U32" s="19">
        <f t="shared" si="13"/>
        <v>0.7662599999999999</v>
      </c>
      <c r="V32" s="89">
        <f t="shared" si="14"/>
        <v>0.73143</v>
      </c>
      <c r="W32" s="68">
        <f t="shared" si="15"/>
        <v>1.49769</v>
      </c>
      <c r="X32" s="71">
        <f t="shared" si="0"/>
        <v>0.73143</v>
      </c>
      <c r="Y32" s="52">
        <f t="shared" si="1"/>
        <v>0.80109</v>
      </c>
      <c r="Z32" s="55">
        <f t="shared" si="2"/>
        <v>0.52245</v>
      </c>
      <c r="AA32" s="19">
        <f t="shared" si="3"/>
        <v>0.73143</v>
      </c>
      <c r="AB32" s="68">
        <f t="shared" si="16"/>
        <v>2.05497</v>
      </c>
      <c r="AC32" s="68">
        <f t="shared" si="17"/>
        <v>6.06042</v>
      </c>
      <c r="AD32" s="67">
        <f t="shared" si="18"/>
        <v>6.061468871574388</v>
      </c>
    </row>
    <row r="33" spans="1:30" s="1" customFormat="1" ht="12.75">
      <c r="A33" s="33" t="s">
        <v>42</v>
      </c>
      <c r="B33" s="104">
        <v>8</v>
      </c>
      <c r="C33" s="51">
        <f t="shared" si="4"/>
        <v>92.88</v>
      </c>
      <c r="D33" s="105">
        <f t="shared" si="5"/>
        <v>16.16112</v>
      </c>
      <c r="E33" s="76">
        <v>0</v>
      </c>
      <c r="F33" s="51">
        <f t="shared" si="6"/>
        <v>0</v>
      </c>
      <c r="G33" s="105">
        <f t="shared" si="7"/>
        <v>0</v>
      </c>
      <c r="H33" s="106"/>
      <c r="I33" s="107"/>
      <c r="J33" s="63"/>
      <c r="K33" s="63"/>
      <c r="L33" s="59"/>
      <c r="M33" s="59"/>
      <c r="N33" s="63"/>
      <c r="O33" s="63"/>
      <c r="P33" s="63">
        <f t="shared" si="8"/>
        <v>16.16112</v>
      </c>
      <c r="Q33" s="108">
        <f t="shared" si="9"/>
        <v>1.3932</v>
      </c>
      <c r="R33" s="108">
        <f t="shared" si="10"/>
        <v>1.8576000000000001</v>
      </c>
      <c r="S33" s="108">
        <f t="shared" si="11"/>
        <v>1.48608</v>
      </c>
      <c r="T33" s="65">
        <f t="shared" si="12"/>
        <v>4.73688</v>
      </c>
      <c r="U33" s="108">
        <f t="shared" si="13"/>
        <v>2.0433600000000003</v>
      </c>
      <c r="V33" s="109">
        <f t="shared" si="14"/>
        <v>1.95048</v>
      </c>
      <c r="W33" s="68">
        <f t="shared" si="15"/>
        <v>3.9938400000000005</v>
      </c>
      <c r="X33" s="115">
        <f t="shared" si="0"/>
        <v>1.95048</v>
      </c>
      <c r="Y33" s="105">
        <f t="shared" si="1"/>
        <v>2.13624</v>
      </c>
      <c r="Z33" s="110">
        <f t="shared" si="2"/>
        <v>1.3932</v>
      </c>
      <c r="AA33" s="108">
        <f t="shared" si="3"/>
        <v>1.95048</v>
      </c>
      <c r="AB33" s="68">
        <f t="shared" si="16"/>
        <v>5.47992</v>
      </c>
      <c r="AC33" s="68">
        <f t="shared" si="17"/>
        <v>16.161120000000004</v>
      </c>
      <c r="AD33" s="67">
        <f t="shared" si="18"/>
        <v>16.16391699086504</v>
      </c>
    </row>
    <row r="34" spans="1:30" s="1" customFormat="1" ht="12.75">
      <c r="A34" s="65" t="s">
        <v>43</v>
      </c>
      <c r="B34" s="82">
        <f aca="true" t="shared" si="19" ref="B34:S34">SUM(B12:B33)</f>
        <v>819</v>
      </c>
      <c r="C34" s="66">
        <f t="shared" si="19"/>
        <v>9508.589999999997</v>
      </c>
      <c r="D34" s="111">
        <f t="shared" si="19"/>
        <v>1654.4946599999998</v>
      </c>
      <c r="E34" s="82">
        <f t="shared" si="19"/>
        <v>198</v>
      </c>
      <c r="F34" s="82">
        <f>SUM(F12:F33)</f>
        <v>2298.7799999999997</v>
      </c>
      <c r="G34" s="112">
        <f>SUM(G12:G33)</f>
        <v>399.9877200000001</v>
      </c>
      <c r="H34" s="69">
        <f t="shared" si="19"/>
        <v>75</v>
      </c>
      <c r="I34" s="67">
        <f t="shared" si="19"/>
        <v>1546.5</v>
      </c>
      <c r="J34" s="68">
        <f t="shared" si="19"/>
        <v>269.091</v>
      </c>
      <c r="K34" s="67">
        <f t="shared" si="19"/>
        <v>50</v>
      </c>
      <c r="L34" s="67">
        <f t="shared" si="19"/>
        <v>0</v>
      </c>
      <c r="M34" s="67">
        <f t="shared" si="19"/>
        <v>0</v>
      </c>
      <c r="N34" s="67">
        <f t="shared" si="19"/>
        <v>580.5</v>
      </c>
      <c r="O34" s="68">
        <f t="shared" si="19"/>
        <v>101.007</v>
      </c>
      <c r="P34" s="68">
        <f t="shared" si="19"/>
        <v>2424.5803799999994</v>
      </c>
      <c r="Q34" s="68">
        <f t="shared" si="19"/>
        <v>209.01554999999993</v>
      </c>
      <c r="R34" s="68">
        <f t="shared" si="19"/>
        <v>278.68739999999997</v>
      </c>
      <c r="S34" s="68">
        <f t="shared" si="19"/>
        <v>222.94992000000005</v>
      </c>
      <c r="T34" s="68">
        <f aca="true" t="shared" si="20" ref="T34:AC34">SUM(T12:T33)</f>
        <v>710.65287</v>
      </c>
      <c r="U34" s="68">
        <f t="shared" si="20"/>
        <v>306.55613999999997</v>
      </c>
      <c r="V34" s="68">
        <f t="shared" si="20"/>
        <v>292.62177</v>
      </c>
      <c r="W34" s="68">
        <f t="shared" si="20"/>
        <v>599.17791</v>
      </c>
      <c r="X34" s="68">
        <f t="shared" si="20"/>
        <v>292.62177</v>
      </c>
      <c r="Y34" s="68">
        <f t="shared" si="20"/>
        <v>320.49051</v>
      </c>
      <c r="Z34" s="68">
        <f t="shared" si="20"/>
        <v>209.01554999999993</v>
      </c>
      <c r="AA34" s="68">
        <f t="shared" si="20"/>
        <v>292.62177</v>
      </c>
      <c r="AB34" s="68">
        <f t="shared" si="20"/>
        <v>822.1278299999999</v>
      </c>
      <c r="AC34" s="68">
        <f t="shared" si="20"/>
        <v>2424.5803799999994</v>
      </c>
      <c r="AD34" s="65">
        <v>2425</v>
      </c>
    </row>
    <row r="35" spans="1:30" s="1" customFormat="1" ht="12.75">
      <c r="A35" s="12" t="s">
        <v>84</v>
      </c>
      <c r="B35" s="2"/>
      <c r="C35" s="2"/>
      <c r="D35" s="2"/>
      <c r="E35" s="2"/>
      <c r="F35" s="2"/>
      <c r="G35" s="2"/>
      <c r="H35" s="3"/>
      <c r="I35" s="25"/>
      <c r="J35" s="26"/>
      <c r="K35" s="26"/>
      <c r="L35" s="3"/>
      <c r="M35" s="3"/>
      <c r="N35" s="26"/>
      <c r="O35" s="26"/>
      <c r="P35" s="13"/>
      <c r="U35" s="13"/>
      <c r="X35" s="13"/>
      <c r="AA35" s="13">
        <f>X34+Y34+Z34+AA34</f>
        <v>1114.7496</v>
      </c>
      <c r="AD35" s="116"/>
    </row>
    <row r="36" spans="1:27" s="1" customFormat="1" ht="12.75">
      <c r="A36" s="1" t="s">
        <v>74</v>
      </c>
      <c r="B36" s="10"/>
      <c r="C36" s="11"/>
      <c r="D36" s="70"/>
      <c r="E36" s="70"/>
      <c r="F36" s="70"/>
      <c r="G36" s="70"/>
      <c r="H36" s="24"/>
      <c r="I36" s="25"/>
      <c r="J36" s="25"/>
      <c r="K36" s="3"/>
      <c r="L36" s="70"/>
      <c r="M36" s="70"/>
      <c r="N36" s="70"/>
      <c r="O36" s="24"/>
      <c r="P36" s="24"/>
      <c r="Q36" s="25"/>
      <c r="R36" s="25"/>
      <c r="S36" s="25"/>
      <c r="T36" s="25"/>
      <c r="U36" s="3"/>
      <c r="V36" s="70"/>
      <c r="W36" s="70"/>
      <c r="X36" s="10"/>
      <c r="Y36" s="11"/>
      <c r="Z36" s="11"/>
      <c r="AA36" s="11"/>
    </row>
    <row r="37" ht="12.75">
      <c r="P37" t="s">
        <v>71</v>
      </c>
    </row>
    <row r="38" spans="1:27" s="1" customFormat="1" ht="12.75">
      <c r="A38" s="124" t="s">
        <v>82</v>
      </c>
      <c r="B38" s="22"/>
      <c r="C38"/>
      <c r="D38"/>
      <c r="E38"/>
      <c r="F38"/>
      <c r="G38"/>
      <c r="H38"/>
      <c r="I38"/>
      <c r="J38"/>
      <c r="K38"/>
      <c r="L38"/>
      <c r="M38"/>
      <c r="N38"/>
      <c r="O38" t="s">
        <v>72</v>
      </c>
      <c r="P38"/>
      <c r="Q38" s="26"/>
      <c r="R38" s="25"/>
      <c r="S38" s="26"/>
      <c r="T38" s="26"/>
      <c r="U38" s="26"/>
      <c r="V38" s="3"/>
      <c r="W38" s="3"/>
      <c r="X38"/>
      <c r="Y38" s="23"/>
      <c r="Z38" s="23"/>
      <c r="AA38" s="22"/>
    </row>
    <row r="39" spans="1:27" ht="12.75">
      <c r="A39" s="122" t="s">
        <v>83</v>
      </c>
      <c r="D39" t="s">
        <v>66</v>
      </c>
      <c r="N39" s="28"/>
      <c r="Q39" s="1"/>
      <c r="R39" s="1" t="s">
        <v>44</v>
      </c>
      <c r="S39" s="1"/>
      <c r="T39" s="1"/>
      <c r="U39" s="1"/>
      <c r="V39" s="1"/>
      <c r="W39" s="1"/>
      <c r="X39" s="1"/>
      <c r="Y39" s="1"/>
      <c r="Z39" s="1"/>
      <c r="AA39" s="1"/>
    </row>
    <row r="40" spans="1:27" ht="12.75">
      <c r="A40" t="s">
        <v>70</v>
      </c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30" ht="12.75">
      <c r="A41" s="29"/>
      <c r="B41" s="30" t="s">
        <v>0</v>
      </c>
      <c r="C41" s="31" t="s">
        <v>1</v>
      </c>
      <c r="D41" s="96" t="s">
        <v>2</v>
      </c>
      <c r="E41" s="73" t="s">
        <v>0</v>
      </c>
      <c r="F41" s="31" t="s">
        <v>1</v>
      </c>
      <c r="G41" s="96" t="s">
        <v>2</v>
      </c>
      <c r="H41" s="32" t="s">
        <v>0</v>
      </c>
      <c r="I41" s="33" t="s">
        <v>1</v>
      </c>
      <c r="J41" s="99" t="s">
        <v>2</v>
      </c>
      <c r="K41" s="32" t="s">
        <v>0</v>
      </c>
      <c r="L41" s="30"/>
      <c r="M41" s="31"/>
      <c r="N41" s="33" t="s">
        <v>1</v>
      </c>
      <c r="O41" s="99" t="s">
        <v>2</v>
      </c>
      <c r="P41" s="64">
        <v>2010</v>
      </c>
      <c r="Q41" s="64">
        <v>2010</v>
      </c>
      <c r="R41" s="64">
        <v>2010</v>
      </c>
      <c r="S41" s="64">
        <v>2010</v>
      </c>
      <c r="T41" s="64"/>
      <c r="U41" s="64">
        <v>2010</v>
      </c>
      <c r="V41" s="64">
        <v>2010</v>
      </c>
      <c r="W41" s="64"/>
      <c r="X41" s="64">
        <v>2010</v>
      </c>
      <c r="Y41" s="64">
        <v>2010</v>
      </c>
      <c r="Z41" s="64">
        <v>2010</v>
      </c>
      <c r="AA41" s="117">
        <v>2010</v>
      </c>
      <c r="AB41" s="64"/>
      <c r="AC41" s="92"/>
      <c r="AD41" s="64"/>
    </row>
    <row r="42" spans="1:30" ht="12.75">
      <c r="A42" s="34"/>
      <c r="B42" s="35" t="s">
        <v>4</v>
      </c>
      <c r="C42" s="36">
        <v>11.61</v>
      </c>
      <c r="D42" s="97"/>
      <c r="E42" s="21" t="s">
        <v>57</v>
      </c>
      <c r="F42" s="36">
        <v>11.61</v>
      </c>
      <c r="G42" s="97"/>
      <c r="H42" s="20" t="s">
        <v>4</v>
      </c>
      <c r="I42" s="101">
        <v>20.62</v>
      </c>
      <c r="J42" s="97"/>
      <c r="K42" s="20" t="s">
        <v>4</v>
      </c>
      <c r="L42" s="35"/>
      <c r="M42" s="8"/>
      <c r="N42" s="101">
        <v>11.61</v>
      </c>
      <c r="O42" s="97"/>
      <c r="P42" s="6" t="s">
        <v>5</v>
      </c>
      <c r="Q42" s="17" t="s">
        <v>45</v>
      </c>
      <c r="R42" s="17" t="s">
        <v>54</v>
      </c>
      <c r="S42" s="17" t="s">
        <v>46</v>
      </c>
      <c r="T42" s="64">
        <v>2010</v>
      </c>
      <c r="U42" s="17" t="s">
        <v>47</v>
      </c>
      <c r="V42" s="21" t="s">
        <v>48</v>
      </c>
      <c r="W42" s="64">
        <v>2010</v>
      </c>
      <c r="X42" s="20" t="s">
        <v>6</v>
      </c>
      <c r="Y42" s="20" t="s">
        <v>7</v>
      </c>
      <c r="Z42" s="37" t="s">
        <v>52</v>
      </c>
      <c r="AA42" s="118" t="s">
        <v>8</v>
      </c>
      <c r="AB42" s="85">
        <v>2010</v>
      </c>
      <c r="AC42" s="85">
        <v>2010</v>
      </c>
      <c r="AD42" s="85">
        <v>2010</v>
      </c>
    </row>
    <row r="43" spans="1:30" ht="12.75">
      <c r="A43" s="34" t="s">
        <v>9</v>
      </c>
      <c r="B43" s="87" t="s">
        <v>10</v>
      </c>
      <c r="C43" s="38" t="s">
        <v>11</v>
      </c>
      <c r="D43" s="97"/>
      <c r="E43" s="21" t="s">
        <v>58</v>
      </c>
      <c r="F43" s="38" t="s">
        <v>11</v>
      </c>
      <c r="G43" s="97"/>
      <c r="H43" s="6" t="s">
        <v>12</v>
      </c>
      <c r="I43" s="39" t="s">
        <v>11</v>
      </c>
      <c r="J43" s="97"/>
      <c r="K43" s="9" t="s">
        <v>13</v>
      </c>
      <c r="L43" s="40"/>
      <c r="M43" s="41"/>
      <c r="N43" s="39" t="s">
        <v>14</v>
      </c>
      <c r="O43" s="97"/>
      <c r="P43" s="42"/>
      <c r="Q43" s="17" t="s">
        <v>56</v>
      </c>
      <c r="R43" s="17" t="s">
        <v>55</v>
      </c>
      <c r="S43" s="17"/>
      <c r="T43" s="93" t="s">
        <v>76</v>
      </c>
      <c r="U43" s="17" t="s">
        <v>53</v>
      </c>
      <c r="V43" s="17"/>
      <c r="W43" s="3" t="s">
        <v>77</v>
      </c>
      <c r="X43" s="20" t="s">
        <v>15</v>
      </c>
      <c r="Y43" s="20" t="s">
        <v>15</v>
      </c>
      <c r="Z43" s="37" t="s">
        <v>15</v>
      </c>
      <c r="AA43" s="118" t="s">
        <v>15</v>
      </c>
      <c r="AB43" s="85" t="s">
        <v>78</v>
      </c>
      <c r="AC43" s="85" t="s">
        <v>5</v>
      </c>
      <c r="AD43" s="85" t="s">
        <v>5</v>
      </c>
    </row>
    <row r="44" spans="1:30" ht="12.75">
      <c r="A44" s="34"/>
      <c r="B44" s="35" t="s">
        <v>16</v>
      </c>
      <c r="C44" s="8" t="s">
        <v>14</v>
      </c>
      <c r="D44" s="98" t="s">
        <v>50</v>
      </c>
      <c r="E44" s="102" t="s">
        <v>59</v>
      </c>
      <c r="F44" s="8" t="s">
        <v>14</v>
      </c>
      <c r="G44" s="98" t="s">
        <v>50</v>
      </c>
      <c r="H44" s="44"/>
      <c r="I44" s="39" t="s">
        <v>14</v>
      </c>
      <c r="J44" s="100" t="s">
        <v>51</v>
      </c>
      <c r="K44" s="9" t="s">
        <v>17</v>
      </c>
      <c r="L44" s="40"/>
      <c r="M44" s="20"/>
      <c r="N44" s="20"/>
      <c r="O44" s="100"/>
      <c r="P44" s="42"/>
      <c r="Q44" s="17"/>
      <c r="R44" s="17"/>
      <c r="S44" s="17"/>
      <c r="T44" s="17"/>
      <c r="U44" s="21"/>
      <c r="V44" s="17"/>
      <c r="W44" s="1"/>
      <c r="X44" s="7" t="s">
        <v>79</v>
      </c>
      <c r="Y44" s="7"/>
      <c r="Z44" s="15"/>
      <c r="AA44" s="119"/>
      <c r="AB44" s="86"/>
      <c r="AC44" s="21"/>
      <c r="AD44" s="85" t="s">
        <v>80</v>
      </c>
    </row>
    <row r="45" spans="2:30" ht="12.75">
      <c r="B45" s="20">
        <v>2009</v>
      </c>
      <c r="C45" s="8"/>
      <c r="D45" s="98"/>
      <c r="E45" s="103" t="s">
        <v>60</v>
      </c>
      <c r="F45" s="45"/>
      <c r="G45" s="98"/>
      <c r="H45" s="20"/>
      <c r="I45" s="16"/>
      <c r="J45" s="100"/>
      <c r="K45" s="9" t="s">
        <v>18</v>
      </c>
      <c r="L45" s="35"/>
      <c r="M45" s="20"/>
      <c r="N45" s="20"/>
      <c r="O45" s="100">
        <v>105</v>
      </c>
      <c r="P45" s="6" t="s">
        <v>50</v>
      </c>
      <c r="Q45" s="21">
        <v>15</v>
      </c>
      <c r="R45" s="21">
        <v>20</v>
      </c>
      <c r="S45" s="21">
        <v>16</v>
      </c>
      <c r="T45" s="21"/>
      <c r="U45" s="45">
        <v>22</v>
      </c>
      <c r="V45" s="17">
        <v>21</v>
      </c>
      <c r="W45" s="1"/>
      <c r="X45" s="20">
        <v>21</v>
      </c>
      <c r="Y45" s="20">
        <v>23</v>
      </c>
      <c r="Z45" s="37">
        <v>15</v>
      </c>
      <c r="AA45" s="118">
        <v>21</v>
      </c>
      <c r="AB45" s="21"/>
      <c r="AC45" s="21"/>
      <c r="AD45" s="85" t="s">
        <v>81</v>
      </c>
    </row>
    <row r="46" spans="2:30" ht="12.75">
      <c r="B46" s="40"/>
      <c r="C46" s="8"/>
      <c r="D46" s="98" t="s">
        <v>19</v>
      </c>
      <c r="E46" s="102" t="s">
        <v>61</v>
      </c>
      <c r="F46" s="21"/>
      <c r="G46" s="98" t="s">
        <v>19</v>
      </c>
      <c r="H46" s="20"/>
      <c r="I46" s="16"/>
      <c r="J46" s="100" t="s">
        <v>19</v>
      </c>
      <c r="K46" s="34"/>
      <c r="L46" s="46"/>
      <c r="M46" s="20"/>
      <c r="N46" s="20"/>
      <c r="O46" s="100" t="s">
        <v>19</v>
      </c>
      <c r="P46" s="6" t="s">
        <v>19</v>
      </c>
      <c r="Q46" s="20" t="s">
        <v>49</v>
      </c>
      <c r="R46" s="20" t="s">
        <v>49</v>
      </c>
      <c r="S46" s="20" t="s">
        <v>49</v>
      </c>
      <c r="T46" s="20"/>
      <c r="U46" s="20" t="s">
        <v>49</v>
      </c>
      <c r="V46" s="20" t="s">
        <v>49</v>
      </c>
      <c r="W46" s="20"/>
      <c r="X46" s="20" t="s">
        <v>49</v>
      </c>
      <c r="Y46" s="20" t="s">
        <v>49</v>
      </c>
      <c r="Z46" s="37" t="s">
        <v>49</v>
      </c>
      <c r="AA46" s="118" t="s">
        <v>49</v>
      </c>
      <c r="AB46" s="21"/>
      <c r="AC46" s="17"/>
      <c r="AD46" s="93"/>
    </row>
    <row r="47" spans="1:30" ht="12.75">
      <c r="A47" s="34"/>
      <c r="B47" s="47"/>
      <c r="C47" s="8"/>
      <c r="D47" s="98" t="s">
        <v>11</v>
      </c>
      <c r="E47" s="74"/>
      <c r="F47" s="74"/>
      <c r="G47" s="98" t="s">
        <v>11</v>
      </c>
      <c r="H47" s="39"/>
      <c r="I47" s="9"/>
      <c r="J47" s="100" t="s">
        <v>11</v>
      </c>
      <c r="K47" s="47"/>
      <c r="L47" s="35"/>
      <c r="M47" s="20"/>
      <c r="N47" s="20"/>
      <c r="O47" s="100" t="s">
        <v>11</v>
      </c>
      <c r="P47" s="9" t="s">
        <v>20</v>
      </c>
      <c r="Q47" s="48"/>
      <c r="R47" s="48"/>
      <c r="S47" s="48"/>
      <c r="T47" s="48"/>
      <c r="U47" s="49"/>
      <c r="V47" s="49"/>
      <c r="W47" s="114"/>
      <c r="X47" s="9"/>
      <c r="Y47" s="9"/>
      <c r="Z47" s="16"/>
      <c r="AA47" s="120"/>
      <c r="AB47" s="95"/>
      <c r="AC47" s="48"/>
      <c r="AD47" s="95"/>
    </row>
    <row r="48" spans="1:30" ht="12.75">
      <c r="A48" s="50" t="s">
        <v>21</v>
      </c>
      <c r="B48" s="80">
        <v>73</v>
      </c>
      <c r="C48" s="51">
        <f>B48*11.61</f>
        <v>847.53</v>
      </c>
      <c r="D48" s="52">
        <f>C48*174/1000</f>
        <v>147.47022</v>
      </c>
      <c r="E48" s="75">
        <v>21</v>
      </c>
      <c r="F48" s="51">
        <f>E48*11.61</f>
        <v>243.81</v>
      </c>
      <c r="G48" s="52">
        <f>F48*174/1000</f>
        <v>42.422940000000004</v>
      </c>
      <c r="H48" s="50"/>
      <c r="I48" s="53"/>
      <c r="J48" s="54"/>
      <c r="K48" s="54"/>
      <c r="L48" s="53"/>
      <c r="M48" s="53"/>
      <c r="N48" s="54"/>
      <c r="O48" s="54"/>
      <c r="P48" s="54">
        <f>D48+G48+J48+O48</f>
        <v>189.89316000000002</v>
      </c>
      <c r="Q48" s="18">
        <f>P48/174*15</f>
        <v>16.370100000000004</v>
      </c>
      <c r="R48" s="19">
        <f>P48/174*20</f>
        <v>21.826800000000006</v>
      </c>
      <c r="S48" s="18">
        <f>P48/174*16</f>
        <v>17.461440000000003</v>
      </c>
      <c r="T48" s="65">
        <f>SUM(Q48:S48)</f>
        <v>55.65834000000002</v>
      </c>
      <c r="U48" s="19">
        <f>P48/174*22</f>
        <v>24.009480000000003</v>
      </c>
      <c r="V48" s="89">
        <f>P48/174*21</f>
        <v>22.918140000000005</v>
      </c>
      <c r="W48" s="68">
        <f>U48+V48</f>
        <v>46.927620000000005</v>
      </c>
      <c r="X48" s="71">
        <f aca="true" t="shared" si="21" ref="X48:X69">P48/174*21</f>
        <v>22.918140000000005</v>
      </c>
      <c r="Y48" s="52">
        <f aca="true" t="shared" si="22" ref="Y48:Y69">P48/174*23</f>
        <v>25.100820000000006</v>
      </c>
      <c r="Z48" s="55">
        <f aca="true" t="shared" si="23" ref="Z48:Z69">P48/174*15</f>
        <v>16.370100000000004</v>
      </c>
      <c r="AA48" s="19">
        <f aca="true" t="shared" si="24" ref="AA48:AA69">P48/174*21</f>
        <v>22.918140000000005</v>
      </c>
      <c r="AB48" s="68">
        <f>SUM(Y48:AA48)</f>
        <v>64.38906000000001</v>
      </c>
      <c r="AC48" s="68">
        <f>T48+W48+X48+AB48</f>
        <v>189.89316000000005</v>
      </c>
      <c r="AD48" s="67">
        <f>$AD$34/$AC$34*AC48</f>
        <v>189.92602464266423</v>
      </c>
    </row>
    <row r="49" spans="1:30" ht="12.75">
      <c r="A49" s="39" t="s">
        <v>22</v>
      </c>
      <c r="B49" s="20">
        <v>56</v>
      </c>
      <c r="C49" s="51">
        <f aca="true" t="shared" si="25" ref="C49:C69">B49*11.61</f>
        <v>650.16</v>
      </c>
      <c r="D49" s="52">
        <f aca="true" t="shared" si="26" ref="D49:D69">C49*174/1000</f>
        <v>113.12783999999999</v>
      </c>
      <c r="E49" s="76">
        <v>14</v>
      </c>
      <c r="F49" s="51">
        <f aca="true" t="shared" si="27" ref="F49:F69">E49*11.61</f>
        <v>162.54</v>
      </c>
      <c r="G49" s="52">
        <f aca="true" t="shared" si="28" ref="G49:G69">F49*174/1000</f>
        <v>28.281959999999998</v>
      </c>
      <c r="H49" s="39"/>
      <c r="I49" s="9"/>
      <c r="J49" s="54"/>
      <c r="K49" s="54"/>
      <c r="L49" s="53"/>
      <c r="M49" s="53"/>
      <c r="N49" s="54"/>
      <c r="O49" s="54"/>
      <c r="P49" s="54">
        <f aca="true" t="shared" si="29" ref="P49:P69">D49+G49+J49+O49</f>
        <v>141.4098</v>
      </c>
      <c r="Q49" s="19">
        <f aca="true" t="shared" si="30" ref="Q49:Q69">P49/174*15</f>
        <v>12.1905</v>
      </c>
      <c r="R49" s="19">
        <f aca="true" t="shared" si="31" ref="R49:R69">P49/174*20</f>
        <v>16.253999999999998</v>
      </c>
      <c r="S49" s="18">
        <f aca="true" t="shared" si="32" ref="S49:S69">P49/174*16</f>
        <v>13.0032</v>
      </c>
      <c r="T49" s="65">
        <f aca="true" t="shared" si="33" ref="T49:T69">SUM(Q49:S49)</f>
        <v>41.4477</v>
      </c>
      <c r="U49" s="19">
        <f aca="true" t="shared" si="34" ref="U49:U69">P49/174*22</f>
        <v>17.8794</v>
      </c>
      <c r="V49" s="89">
        <f aca="true" t="shared" si="35" ref="V49:V69">P49/174*21</f>
        <v>17.0667</v>
      </c>
      <c r="W49" s="68">
        <f aca="true" t="shared" si="36" ref="W49:W69">U49+V49</f>
        <v>34.9461</v>
      </c>
      <c r="X49" s="71">
        <f t="shared" si="21"/>
        <v>17.0667</v>
      </c>
      <c r="Y49" s="52">
        <f t="shared" si="22"/>
        <v>18.6921</v>
      </c>
      <c r="Z49" s="55">
        <f t="shared" si="23"/>
        <v>12.1905</v>
      </c>
      <c r="AA49" s="19">
        <f t="shared" si="24"/>
        <v>17.0667</v>
      </c>
      <c r="AB49" s="68">
        <f aca="true" t="shared" si="37" ref="AB49:AB69">SUM(Y49:AA49)</f>
        <v>47.9493</v>
      </c>
      <c r="AC49" s="68">
        <f aca="true" t="shared" si="38" ref="AC49:AC69">T49+W49+X49+AB49</f>
        <v>141.4098</v>
      </c>
      <c r="AD49" s="67">
        <f aca="true" t="shared" si="39" ref="AD49:AD69">$AD$34/$AC$34*AC49</f>
        <v>141.43427367006905</v>
      </c>
    </row>
    <row r="50" spans="1:30" s="1" customFormat="1" ht="12.75">
      <c r="A50" s="50" t="s">
        <v>23</v>
      </c>
      <c r="B50" s="80">
        <v>56</v>
      </c>
      <c r="C50" s="51">
        <f t="shared" si="25"/>
        <v>650.16</v>
      </c>
      <c r="D50" s="52">
        <f t="shared" si="26"/>
        <v>113.12783999999999</v>
      </c>
      <c r="E50" s="77">
        <v>7</v>
      </c>
      <c r="F50" s="51">
        <f t="shared" si="27"/>
        <v>81.27</v>
      </c>
      <c r="G50" s="52">
        <f t="shared" si="28"/>
        <v>14.140979999999999</v>
      </c>
      <c r="H50" s="33"/>
      <c r="I50" s="59"/>
      <c r="J50" s="54"/>
      <c r="K50" s="54"/>
      <c r="L50" s="53"/>
      <c r="M50" s="53"/>
      <c r="N50" s="54"/>
      <c r="O50" s="54"/>
      <c r="P50" s="54">
        <f t="shared" si="29"/>
        <v>127.26881999999999</v>
      </c>
      <c r="Q50" s="19">
        <f t="shared" si="30"/>
        <v>10.971449999999999</v>
      </c>
      <c r="R50" s="19">
        <f t="shared" si="31"/>
        <v>14.628599999999999</v>
      </c>
      <c r="S50" s="18">
        <f t="shared" si="32"/>
        <v>11.702879999999999</v>
      </c>
      <c r="T50" s="65">
        <f t="shared" si="33"/>
        <v>37.302929999999996</v>
      </c>
      <c r="U50" s="19">
        <f t="shared" si="34"/>
        <v>16.091459999999998</v>
      </c>
      <c r="V50" s="89">
        <f t="shared" si="35"/>
        <v>15.360029999999998</v>
      </c>
      <c r="W50" s="68">
        <f t="shared" si="36"/>
        <v>31.451489999999996</v>
      </c>
      <c r="X50" s="71">
        <f t="shared" si="21"/>
        <v>15.360029999999998</v>
      </c>
      <c r="Y50" s="52">
        <f t="shared" si="22"/>
        <v>16.822889999999997</v>
      </c>
      <c r="Z50" s="55">
        <f t="shared" si="23"/>
        <v>10.971449999999999</v>
      </c>
      <c r="AA50" s="19">
        <f t="shared" si="24"/>
        <v>15.360029999999998</v>
      </c>
      <c r="AB50" s="68">
        <f t="shared" si="37"/>
        <v>43.15437</v>
      </c>
      <c r="AC50" s="68">
        <f t="shared" si="38"/>
        <v>127.26881999999999</v>
      </c>
      <c r="AD50" s="67">
        <f t="shared" si="39"/>
        <v>127.29084630306215</v>
      </c>
    </row>
    <row r="51" spans="1:30" s="1" customFormat="1" ht="12.75">
      <c r="A51" s="1" t="s">
        <v>24</v>
      </c>
      <c r="B51" s="80">
        <v>20</v>
      </c>
      <c r="C51" s="51">
        <f t="shared" si="25"/>
        <v>232.2</v>
      </c>
      <c r="D51" s="52">
        <f t="shared" si="26"/>
        <v>40.4028</v>
      </c>
      <c r="E51" s="78">
        <v>5</v>
      </c>
      <c r="F51" s="51">
        <f t="shared" si="27"/>
        <v>58.05</v>
      </c>
      <c r="G51" s="55">
        <f t="shared" si="28"/>
        <v>10.1007</v>
      </c>
      <c r="H51" s="18"/>
      <c r="I51" s="18"/>
      <c r="J51" s="71"/>
      <c r="K51" s="54"/>
      <c r="L51" s="53"/>
      <c r="M51" s="53"/>
      <c r="N51" s="54"/>
      <c r="O51" s="54"/>
      <c r="P51" s="54">
        <f t="shared" si="29"/>
        <v>50.5035</v>
      </c>
      <c r="Q51" s="19">
        <f t="shared" si="30"/>
        <v>4.35375</v>
      </c>
      <c r="R51" s="19">
        <f t="shared" si="31"/>
        <v>5.805</v>
      </c>
      <c r="S51" s="19">
        <f t="shared" si="32"/>
        <v>4.644</v>
      </c>
      <c r="T51" s="65">
        <f t="shared" si="33"/>
        <v>14.80275</v>
      </c>
      <c r="U51" s="19">
        <f t="shared" si="34"/>
        <v>6.3855</v>
      </c>
      <c r="V51" s="89">
        <f t="shared" si="35"/>
        <v>6.09525</v>
      </c>
      <c r="W51" s="68">
        <f t="shared" si="36"/>
        <v>12.48075</v>
      </c>
      <c r="X51" s="71">
        <f t="shared" si="21"/>
        <v>6.09525</v>
      </c>
      <c r="Y51" s="52">
        <f t="shared" si="22"/>
        <v>6.67575</v>
      </c>
      <c r="Z51" s="55">
        <f t="shared" si="23"/>
        <v>4.35375</v>
      </c>
      <c r="AA51" s="19">
        <f t="shared" si="24"/>
        <v>6.09525</v>
      </c>
      <c r="AB51" s="68">
        <f t="shared" si="37"/>
        <v>17.12475</v>
      </c>
      <c r="AC51" s="68">
        <f t="shared" si="38"/>
        <v>50.503499999999995</v>
      </c>
      <c r="AD51" s="67">
        <f t="shared" si="39"/>
        <v>50.51224059645323</v>
      </c>
    </row>
    <row r="52" spans="1:30" s="1" customFormat="1" ht="12.75">
      <c r="A52" s="50" t="s">
        <v>25</v>
      </c>
      <c r="B52" s="81">
        <v>165</v>
      </c>
      <c r="C52" s="51">
        <f t="shared" si="25"/>
        <v>1915.6499999999999</v>
      </c>
      <c r="D52" s="52">
        <f t="shared" si="26"/>
        <v>333.32309999999995</v>
      </c>
      <c r="E52" s="75">
        <v>29</v>
      </c>
      <c r="F52" s="51">
        <f t="shared" si="27"/>
        <v>336.69</v>
      </c>
      <c r="G52" s="52">
        <f t="shared" si="28"/>
        <v>58.58406</v>
      </c>
      <c r="H52" s="123">
        <v>50</v>
      </c>
      <c r="I52" s="56">
        <f>H52*20.62</f>
        <v>1031</v>
      </c>
      <c r="J52" s="52">
        <f>I52*174/1000</f>
        <v>179.394</v>
      </c>
      <c r="K52" s="51">
        <v>50</v>
      </c>
      <c r="L52" s="53"/>
      <c r="M52" s="53"/>
      <c r="N52" s="51">
        <f>K52*11.61</f>
        <v>580.5</v>
      </c>
      <c r="O52" s="52">
        <f>N52*105/1000</f>
        <v>60.9525</v>
      </c>
      <c r="P52" s="54">
        <f t="shared" si="29"/>
        <v>632.25366</v>
      </c>
      <c r="Q52" s="19">
        <f t="shared" si="30"/>
        <v>54.50462586206896</v>
      </c>
      <c r="R52" s="19">
        <f t="shared" si="31"/>
        <v>72.67283448275862</v>
      </c>
      <c r="S52" s="19">
        <f t="shared" si="32"/>
        <v>58.138267586206894</v>
      </c>
      <c r="T52" s="65">
        <f t="shared" si="33"/>
        <v>185.31572793103447</v>
      </c>
      <c r="U52" s="19">
        <f t="shared" si="34"/>
        <v>79.94011793103448</v>
      </c>
      <c r="V52" s="89">
        <f t="shared" si="35"/>
        <v>76.30647620689655</v>
      </c>
      <c r="W52" s="68">
        <f t="shared" si="36"/>
        <v>156.24659413793103</v>
      </c>
      <c r="X52" s="71">
        <f t="shared" si="21"/>
        <v>76.30647620689655</v>
      </c>
      <c r="Y52" s="52">
        <f t="shared" si="22"/>
        <v>83.57375965517241</v>
      </c>
      <c r="Z52" s="55">
        <f t="shared" si="23"/>
        <v>54.50462586206896</v>
      </c>
      <c r="AA52" s="19">
        <f t="shared" si="24"/>
        <v>76.30647620689655</v>
      </c>
      <c r="AB52" s="68">
        <f t="shared" si="37"/>
        <v>214.38486172413792</v>
      </c>
      <c r="AC52" s="68">
        <f t="shared" si="38"/>
        <v>632.25366</v>
      </c>
      <c r="AD52" s="67">
        <f t="shared" si="39"/>
        <v>632.3630835864473</v>
      </c>
    </row>
    <row r="53" spans="1:30" s="1" customFormat="1" ht="12.75">
      <c r="A53" s="50" t="s">
        <v>26</v>
      </c>
      <c r="B53" s="81">
        <v>138</v>
      </c>
      <c r="C53" s="51">
        <f t="shared" si="25"/>
        <v>1602.1799999999998</v>
      </c>
      <c r="D53" s="52">
        <f t="shared" si="26"/>
        <v>278.7793199999999</v>
      </c>
      <c r="E53" s="75">
        <v>18</v>
      </c>
      <c r="F53" s="51">
        <f t="shared" si="27"/>
        <v>208.98</v>
      </c>
      <c r="G53" s="52">
        <f t="shared" si="28"/>
        <v>36.362519999999996</v>
      </c>
      <c r="H53" s="56"/>
      <c r="I53" s="56"/>
      <c r="J53"/>
      <c r="K53" s="54"/>
      <c r="L53" s="53"/>
      <c r="M53" s="53"/>
      <c r="N53" s="54"/>
      <c r="O53" s="54"/>
      <c r="P53" s="54">
        <f t="shared" si="29"/>
        <v>315.14183999999995</v>
      </c>
      <c r="Q53" s="19">
        <f t="shared" si="30"/>
        <v>27.167399999999994</v>
      </c>
      <c r="R53" s="19">
        <f t="shared" si="31"/>
        <v>36.22319999999999</v>
      </c>
      <c r="S53" s="19">
        <f t="shared" si="32"/>
        <v>28.978559999999995</v>
      </c>
      <c r="T53" s="65">
        <f t="shared" si="33"/>
        <v>92.36915999999998</v>
      </c>
      <c r="U53" s="19">
        <f t="shared" si="34"/>
        <v>39.84551999999999</v>
      </c>
      <c r="V53" s="89">
        <f t="shared" si="35"/>
        <v>38.03435999999999</v>
      </c>
      <c r="W53" s="68">
        <f t="shared" si="36"/>
        <v>77.87987999999999</v>
      </c>
      <c r="X53" s="71">
        <f t="shared" si="21"/>
        <v>38.03435999999999</v>
      </c>
      <c r="Y53" s="52">
        <f t="shared" si="22"/>
        <v>41.656679999999994</v>
      </c>
      <c r="Z53" s="55">
        <f t="shared" si="23"/>
        <v>27.167399999999994</v>
      </c>
      <c r="AA53" s="19">
        <f t="shared" si="24"/>
        <v>38.03435999999999</v>
      </c>
      <c r="AB53" s="68">
        <f t="shared" si="37"/>
        <v>106.85843999999997</v>
      </c>
      <c r="AC53" s="68">
        <f t="shared" si="38"/>
        <v>315.14183999999995</v>
      </c>
      <c r="AD53" s="67">
        <f t="shared" si="39"/>
        <v>315.19638132186816</v>
      </c>
    </row>
    <row r="54" spans="1:30" s="1" customFormat="1" ht="12.75">
      <c r="A54" s="50" t="s">
        <v>27</v>
      </c>
      <c r="B54" s="81">
        <v>68</v>
      </c>
      <c r="C54" s="51">
        <f t="shared" si="25"/>
        <v>789.48</v>
      </c>
      <c r="D54" s="52">
        <f t="shared" si="26"/>
        <v>137.36952</v>
      </c>
      <c r="E54" s="75">
        <v>27</v>
      </c>
      <c r="F54" s="51">
        <f t="shared" si="27"/>
        <v>313.46999999999997</v>
      </c>
      <c r="G54" s="52">
        <f t="shared" si="28"/>
        <v>54.54377999999999</v>
      </c>
      <c r="H54" s="56">
        <v>50</v>
      </c>
      <c r="I54" s="56">
        <f>H54*20.62</f>
        <v>1031</v>
      </c>
      <c r="J54" s="52">
        <f>I54*174/1000</f>
        <v>179.394</v>
      </c>
      <c r="K54" s="54"/>
      <c r="L54" s="53"/>
      <c r="M54" s="53"/>
      <c r="N54" s="54"/>
      <c r="O54" s="54"/>
      <c r="P54" s="54">
        <f t="shared" si="29"/>
        <v>371.3073</v>
      </c>
      <c r="Q54" s="19">
        <f t="shared" si="30"/>
        <v>32.00925</v>
      </c>
      <c r="R54" s="19">
        <f t="shared" si="31"/>
        <v>42.679</v>
      </c>
      <c r="S54" s="19">
        <f t="shared" si="32"/>
        <v>34.1432</v>
      </c>
      <c r="T54" s="65">
        <f t="shared" si="33"/>
        <v>108.83145000000002</v>
      </c>
      <c r="U54" s="19">
        <f t="shared" si="34"/>
        <v>46.9469</v>
      </c>
      <c r="V54" s="89">
        <f t="shared" si="35"/>
        <v>44.81295</v>
      </c>
      <c r="W54" s="68">
        <f t="shared" si="36"/>
        <v>91.75985</v>
      </c>
      <c r="X54" s="71">
        <f t="shared" si="21"/>
        <v>44.81295</v>
      </c>
      <c r="Y54" s="52">
        <f t="shared" si="22"/>
        <v>49.08085</v>
      </c>
      <c r="Z54" s="55">
        <f t="shared" si="23"/>
        <v>32.00925</v>
      </c>
      <c r="AA54" s="19">
        <f t="shared" si="24"/>
        <v>44.81295</v>
      </c>
      <c r="AB54" s="68">
        <f t="shared" si="37"/>
        <v>125.90305000000001</v>
      </c>
      <c r="AC54" s="68">
        <f t="shared" si="38"/>
        <v>371.30730000000005</v>
      </c>
      <c r="AD54" s="67">
        <f t="shared" si="39"/>
        <v>371.37156182877317</v>
      </c>
    </row>
    <row r="55" spans="1:30" s="1" customFormat="1" ht="12.75">
      <c r="A55" s="50" t="s">
        <v>28</v>
      </c>
      <c r="B55" s="81">
        <v>38</v>
      </c>
      <c r="C55" s="51">
        <f t="shared" si="25"/>
        <v>441.17999999999995</v>
      </c>
      <c r="D55" s="52">
        <f t="shared" si="26"/>
        <v>76.76531999999999</v>
      </c>
      <c r="E55" s="75">
        <v>11</v>
      </c>
      <c r="F55" s="51">
        <f t="shared" si="27"/>
        <v>127.71</v>
      </c>
      <c r="G55" s="52">
        <f t="shared" si="28"/>
        <v>22.221539999999997</v>
      </c>
      <c r="H55" s="56"/>
      <c r="I55" s="57"/>
      <c r="J55" s="52"/>
      <c r="K55" s="54"/>
      <c r="L55" s="53"/>
      <c r="M55" s="53"/>
      <c r="N55" s="54"/>
      <c r="O55" s="54"/>
      <c r="P55" s="54">
        <f t="shared" si="29"/>
        <v>98.98685999999998</v>
      </c>
      <c r="Q55" s="19">
        <f t="shared" si="30"/>
        <v>8.533349999999999</v>
      </c>
      <c r="R55" s="19">
        <f t="shared" si="31"/>
        <v>11.377799999999997</v>
      </c>
      <c r="S55" s="19">
        <f t="shared" si="32"/>
        <v>9.102239999999998</v>
      </c>
      <c r="T55" s="65">
        <f t="shared" si="33"/>
        <v>29.013389999999994</v>
      </c>
      <c r="U55" s="19">
        <f t="shared" si="34"/>
        <v>12.515579999999998</v>
      </c>
      <c r="V55" s="89">
        <f t="shared" si="35"/>
        <v>11.946689999999998</v>
      </c>
      <c r="W55" s="68">
        <f t="shared" si="36"/>
        <v>24.462269999999997</v>
      </c>
      <c r="X55" s="71">
        <f t="shared" si="21"/>
        <v>11.946689999999998</v>
      </c>
      <c r="Y55" s="52">
        <f t="shared" si="22"/>
        <v>13.084469999999998</v>
      </c>
      <c r="Z55" s="55">
        <f t="shared" si="23"/>
        <v>8.533349999999999</v>
      </c>
      <c r="AA55" s="19">
        <f t="shared" si="24"/>
        <v>11.946689999999998</v>
      </c>
      <c r="AB55" s="68">
        <f t="shared" si="37"/>
        <v>33.56450999999999</v>
      </c>
      <c r="AC55" s="68">
        <f t="shared" si="38"/>
        <v>98.98685999999998</v>
      </c>
      <c r="AD55" s="67">
        <f t="shared" si="39"/>
        <v>99.00399156904832</v>
      </c>
    </row>
    <row r="56" spans="1:30" s="1" customFormat="1" ht="12.75">
      <c r="A56" s="50" t="s">
        <v>29</v>
      </c>
      <c r="B56" s="81">
        <v>22</v>
      </c>
      <c r="C56" s="51">
        <f t="shared" si="25"/>
        <v>255.42</v>
      </c>
      <c r="D56" s="52">
        <f t="shared" si="26"/>
        <v>44.443079999999995</v>
      </c>
      <c r="E56" s="75">
        <v>15</v>
      </c>
      <c r="F56" s="51">
        <f t="shared" si="27"/>
        <v>174.14999999999998</v>
      </c>
      <c r="G56" s="52">
        <f t="shared" si="28"/>
        <v>30.302099999999996</v>
      </c>
      <c r="H56" s="56"/>
      <c r="I56" s="57"/>
      <c r="J56" s="52"/>
      <c r="K56" s="54"/>
      <c r="L56" s="53"/>
      <c r="M56" s="53"/>
      <c r="N56" s="54"/>
      <c r="O56" s="54"/>
      <c r="P56" s="54">
        <f t="shared" si="29"/>
        <v>74.74517999999999</v>
      </c>
      <c r="Q56" s="19">
        <f t="shared" si="30"/>
        <v>6.443549999999999</v>
      </c>
      <c r="R56" s="19">
        <f t="shared" si="31"/>
        <v>8.591399999999998</v>
      </c>
      <c r="S56" s="19">
        <f t="shared" si="32"/>
        <v>6.873119999999999</v>
      </c>
      <c r="T56" s="65">
        <f t="shared" si="33"/>
        <v>21.90807</v>
      </c>
      <c r="U56" s="19">
        <f t="shared" si="34"/>
        <v>9.450539999999998</v>
      </c>
      <c r="V56" s="89">
        <f t="shared" si="35"/>
        <v>9.020969999999998</v>
      </c>
      <c r="W56" s="68">
        <f t="shared" si="36"/>
        <v>18.471509999999995</v>
      </c>
      <c r="X56" s="71">
        <f t="shared" si="21"/>
        <v>9.020969999999998</v>
      </c>
      <c r="Y56" s="52">
        <f t="shared" si="22"/>
        <v>9.880109999999998</v>
      </c>
      <c r="Z56" s="55">
        <f t="shared" si="23"/>
        <v>6.443549999999999</v>
      </c>
      <c r="AA56" s="19">
        <f t="shared" si="24"/>
        <v>9.020969999999998</v>
      </c>
      <c r="AB56" s="68">
        <f t="shared" si="37"/>
        <v>25.344629999999995</v>
      </c>
      <c r="AC56" s="68">
        <f t="shared" si="38"/>
        <v>74.74517999999998</v>
      </c>
      <c r="AD56" s="67">
        <f t="shared" si="39"/>
        <v>74.75811608275077</v>
      </c>
    </row>
    <row r="57" spans="1:30" s="1" customFormat="1" ht="12.75">
      <c r="A57" s="50" t="s">
        <v>30</v>
      </c>
      <c r="B57" s="81">
        <v>14</v>
      </c>
      <c r="C57" s="51">
        <f t="shared" si="25"/>
        <v>162.54</v>
      </c>
      <c r="D57" s="52">
        <f t="shared" si="26"/>
        <v>28.281959999999998</v>
      </c>
      <c r="E57" s="75">
        <v>2</v>
      </c>
      <c r="F57" s="51">
        <f t="shared" si="27"/>
        <v>23.22</v>
      </c>
      <c r="G57" s="52">
        <f t="shared" si="28"/>
        <v>4.04028</v>
      </c>
      <c r="H57" s="56"/>
      <c r="I57" s="57"/>
      <c r="J57" s="52"/>
      <c r="K57" s="54"/>
      <c r="L57" s="53"/>
      <c r="M57" s="53"/>
      <c r="N57" s="54"/>
      <c r="O57" s="54"/>
      <c r="P57" s="54">
        <f t="shared" si="29"/>
        <v>32.32224</v>
      </c>
      <c r="Q57" s="19">
        <f t="shared" si="30"/>
        <v>2.7864</v>
      </c>
      <c r="R57" s="19">
        <f t="shared" si="31"/>
        <v>3.7152000000000003</v>
      </c>
      <c r="S57" s="19">
        <f t="shared" si="32"/>
        <v>2.97216</v>
      </c>
      <c r="T57" s="65">
        <f t="shared" si="33"/>
        <v>9.47376</v>
      </c>
      <c r="U57" s="19">
        <f t="shared" si="34"/>
        <v>4.086720000000001</v>
      </c>
      <c r="V57" s="89">
        <f t="shared" si="35"/>
        <v>3.90096</v>
      </c>
      <c r="W57" s="68">
        <f t="shared" si="36"/>
        <v>7.987680000000001</v>
      </c>
      <c r="X57" s="71">
        <f t="shared" si="21"/>
        <v>3.90096</v>
      </c>
      <c r="Y57" s="52">
        <f t="shared" si="22"/>
        <v>4.27248</v>
      </c>
      <c r="Z57" s="55">
        <f t="shared" si="23"/>
        <v>2.7864</v>
      </c>
      <c r="AA57" s="19">
        <f t="shared" si="24"/>
        <v>3.90096</v>
      </c>
      <c r="AB57" s="68">
        <f t="shared" si="37"/>
        <v>10.95984</v>
      </c>
      <c r="AC57" s="68">
        <f t="shared" si="38"/>
        <v>32.32224000000001</v>
      </c>
      <c r="AD57" s="67">
        <f t="shared" si="39"/>
        <v>32.32783398173008</v>
      </c>
    </row>
    <row r="58" spans="1:30" s="1" customFormat="1" ht="12.75">
      <c r="A58" s="50" t="s">
        <v>31</v>
      </c>
      <c r="B58" s="81">
        <v>12</v>
      </c>
      <c r="C58" s="51">
        <f t="shared" si="25"/>
        <v>139.32</v>
      </c>
      <c r="D58" s="52">
        <f t="shared" si="26"/>
        <v>24.24168</v>
      </c>
      <c r="E58" s="75">
        <v>2</v>
      </c>
      <c r="F58" s="51">
        <f t="shared" si="27"/>
        <v>23.22</v>
      </c>
      <c r="G58" s="52">
        <f t="shared" si="28"/>
        <v>4.04028</v>
      </c>
      <c r="H58" s="56"/>
      <c r="I58" s="57"/>
      <c r="J58" s="52"/>
      <c r="K58" s="54"/>
      <c r="L58" s="53"/>
      <c r="M58" s="53"/>
      <c r="N58" s="54"/>
      <c r="O58" s="54"/>
      <c r="P58" s="54">
        <f t="shared" si="29"/>
        <v>28.281959999999998</v>
      </c>
      <c r="Q58" s="19">
        <f t="shared" si="30"/>
        <v>2.4381</v>
      </c>
      <c r="R58" s="19">
        <f t="shared" si="31"/>
        <v>3.2508</v>
      </c>
      <c r="S58" s="19">
        <f t="shared" si="32"/>
        <v>2.60064</v>
      </c>
      <c r="T58" s="65">
        <f t="shared" si="33"/>
        <v>8.28954</v>
      </c>
      <c r="U58" s="19">
        <f t="shared" si="34"/>
        <v>3.5758799999999997</v>
      </c>
      <c r="V58" s="89">
        <f t="shared" si="35"/>
        <v>3.41334</v>
      </c>
      <c r="W58" s="68">
        <f t="shared" si="36"/>
        <v>6.9892199999999995</v>
      </c>
      <c r="X58" s="71">
        <f t="shared" si="21"/>
        <v>3.41334</v>
      </c>
      <c r="Y58" s="52">
        <f t="shared" si="22"/>
        <v>3.7384199999999996</v>
      </c>
      <c r="Z58" s="55">
        <f t="shared" si="23"/>
        <v>2.4381</v>
      </c>
      <c r="AA58" s="19">
        <f t="shared" si="24"/>
        <v>3.41334</v>
      </c>
      <c r="AB58" s="68">
        <f t="shared" si="37"/>
        <v>9.58986</v>
      </c>
      <c r="AC58" s="68">
        <f t="shared" si="38"/>
        <v>28.281959999999998</v>
      </c>
      <c r="AD58" s="67">
        <f t="shared" si="39"/>
        <v>28.28685473401381</v>
      </c>
    </row>
    <row r="59" spans="1:30" s="1" customFormat="1" ht="12.75">
      <c r="A59" s="50" t="s">
        <v>32</v>
      </c>
      <c r="B59" s="81">
        <v>10</v>
      </c>
      <c r="C59" s="51">
        <f t="shared" si="25"/>
        <v>116.1</v>
      </c>
      <c r="D59" s="52">
        <f t="shared" si="26"/>
        <v>20.2014</v>
      </c>
      <c r="E59" s="75">
        <v>3</v>
      </c>
      <c r="F59" s="51">
        <f t="shared" si="27"/>
        <v>34.83</v>
      </c>
      <c r="G59" s="52">
        <f t="shared" si="28"/>
        <v>6.06042</v>
      </c>
      <c r="H59" s="56"/>
      <c r="I59" s="57"/>
      <c r="J59" s="52"/>
      <c r="K59" s="54"/>
      <c r="L59" s="53"/>
      <c r="M59" s="53"/>
      <c r="N59" s="54"/>
      <c r="O59" s="54"/>
      <c r="P59" s="54">
        <f t="shared" si="29"/>
        <v>26.26182</v>
      </c>
      <c r="Q59" s="19">
        <f t="shared" si="30"/>
        <v>2.2639500000000004</v>
      </c>
      <c r="R59" s="19">
        <f t="shared" si="31"/>
        <v>3.0186</v>
      </c>
      <c r="S59" s="19">
        <f t="shared" si="32"/>
        <v>2.41488</v>
      </c>
      <c r="T59" s="65">
        <f t="shared" si="33"/>
        <v>7.697430000000001</v>
      </c>
      <c r="U59" s="19">
        <f t="shared" si="34"/>
        <v>3.32046</v>
      </c>
      <c r="V59" s="89">
        <f t="shared" si="35"/>
        <v>3.16953</v>
      </c>
      <c r="W59" s="68">
        <f t="shared" si="36"/>
        <v>6.489990000000001</v>
      </c>
      <c r="X59" s="71">
        <f t="shared" si="21"/>
        <v>3.16953</v>
      </c>
      <c r="Y59" s="52">
        <f t="shared" si="22"/>
        <v>3.4713900000000004</v>
      </c>
      <c r="Z59" s="55">
        <f t="shared" si="23"/>
        <v>2.2639500000000004</v>
      </c>
      <c r="AA59" s="19">
        <f t="shared" si="24"/>
        <v>3.16953</v>
      </c>
      <c r="AB59" s="68">
        <f t="shared" si="37"/>
        <v>8.90487</v>
      </c>
      <c r="AC59" s="68">
        <f t="shared" si="38"/>
        <v>26.26182</v>
      </c>
      <c r="AD59" s="67">
        <f t="shared" si="39"/>
        <v>26.266365110155682</v>
      </c>
    </row>
    <row r="60" spans="1:30" s="1" customFormat="1" ht="12.75">
      <c r="A60" s="50" t="s">
        <v>33</v>
      </c>
      <c r="B60" s="81">
        <v>18</v>
      </c>
      <c r="C60" s="51">
        <f t="shared" si="25"/>
        <v>208.98</v>
      </c>
      <c r="D60" s="52">
        <f t="shared" si="26"/>
        <v>36.362519999999996</v>
      </c>
      <c r="E60" s="75">
        <v>3</v>
      </c>
      <c r="F60" s="51">
        <f t="shared" si="27"/>
        <v>34.83</v>
      </c>
      <c r="G60" s="52">
        <f t="shared" si="28"/>
        <v>6.06042</v>
      </c>
      <c r="H60" s="56"/>
      <c r="I60" s="57"/>
      <c r="J60" s="52"/>
      <c r="K60" s="54"/>
      <c r="L60" s="53"/>
      <c r="M60" s="53"/>
      <c r="N60" s="54"/>
      <c r="O60" s="54"/>
      <c r="P60" s="54">
        <f t="shared" si="29"/>
        <v>42.42294</v>
      </c>
      <c r="Q60" s="19">
        <f t="shared" si="30"/>
        <v>3.6571499999999997</v>
      </c>
      <c r="R60" s="19">
        <f t="shared" si="31"/>
        <v>4.876199999999999</v>
      </c>
      <c r="S60" s="19">
        <f t="shared" si="32"/>
        <v>3.9009599999999995</v>
      </c>
      <c r="T60" s="65">
        <f t="shared" si="33"/>
        <v>12.434309999999998</v>
      </c>
      <c r="U60" s="19">
        <f t="shared" si="34"/>
        <v>5.36382</v>
      </c>
      <c r="V60" s="89">
        <f t="shared" si="35"/>
        <v>5.12001</v>
      </c>
      <c r="W60" s="68">
        <f t="shared" si="36"/>
        <v>10.48383</v>
      </c>
      <c r="X60" s="71">
        <f t="shared" si="21"/>
        <v>5.12001</v>
      </c>
      <c r="Y60" s="52">
        <f t="shared" si="22"/>
        <v>5.6076299999999994</v>
      </c>
      <c r="Z60" s="55">
        <f t="shared" si="23"/>
        <v>3.6571499999999997</v>
      </c>
      <c r="AA60" s="19">
        <f t="shared" si="24"/>
        <v>5.12001</v>
      </c>
      <c r="AB60" s="68">
        <f t="shared" si="37"/>
        <v>14.384789999999999</v>
      </c>
      <c r="AC60" s="68">
        <f t="shared" si="38"/>
        <v>42.42294</v>
      </c>
      <c r="AD60" s="67">
        <f t="shared" si="39"/>
        <v>42.430282101020715</v>
      </c>
    </row>
    <row r="61" spans="1:30" s="1" customFormat="1" ht="12.75">
      <c r="A61" s="50" t="s">
        <v>34</v>
      </c>
      <c r="B61" s="81">
        <v>15</v>
      </c>
      <c r="C61" s="51">
        <f t="shared" si="25"/>
        <v>174.14999999999998</v>
      </c>
      <c r="D61" s="52">
        <f t="shared" si="26"/>
        <v>30.302099999999996</v>
      </c>
      <c r="E61" s="75">
        <v>7</v>
      </c>
      <c r="F61" s="51">
        <f t="shared" si="27"/>
        <v>81.27</v>
      </c>
      <c r="G61" s="52">
        <f t="shared" si="28"/>
        <v>14.140979999999999</v>
      </c>
      <c r="H61" s="56"/>
      <c r="I61" s="57"/>
      <c r="J61" s="52"/>
      <c r="K61" s="54"/>
      <c r="L61" s="53"/>
      <c r="M61" s="53"/>
      <c r="N61" s="54"/>
      <c r="O61" s="54"/>
      <c r="P61" s="54">
        <f t="shared" si="29"/>
        <v>44.443079999999995</v>
      </c>
      <c r="Q61" s="19">
        <f t="shared" si="30"/>
        <v>3.8312999999999997</v>
      </c>
      <c r="R61" s="19">
        <f t="shared" si="31"/>
        <v>5.1084</v>
      </c>
      <c r="S61" s="19">
        <f t="shared" si="32"/>
        <v>4.08672</v>
      </c>
      <c r="T61" s="65">
        <f t="shared" si="33"/>
        <v>13.026419999999998</v>
      </c>
      <c r="U61" s="19">
        <f t="shared" si="34"/>
        <v>5.61924</v>
      </c>
      <c r="V61" s="89">
        <f t="shared" si="35"/>
        <v>5.36382</v>
      </c>
      <c r="W61" s="68">
        <f t="shared" si="36"/>
        <v>10.983059999999998</v>
      </c>
      <c r="X61" s="71">
        <f t="shared" si="21"/>
        <v>5.36382</v>
      </c>
      <c r="Y61" s="52">
        <f t="shared" si="22"/>
        <v>5.8746599999999995</v>
      </c>
      <c r="Z61" s="55">
        <f t="shared" si="23"/>
        <v>3.8312999999999997</v>
      </c>
      <c r="AA61" s="19">
        <f t="shared" si="24"/>
        <v>5.36382</v>
      </c>
      <c r="AB61" s="68">
        <f t="shared" si="37"/>
        <v>15.069779999999998</v>
      </c>
      <c r="AC61" s="68">
        <f t="shared" si="38"/>
        <v>44.443079999999995</v>
      </c>
      <c r="AD61" s="67">
        <f t="shared" si="39"/>
        <v>44.45077172487884</v>
      </c>
    </row>
    <row r="62" spans="1:30" s="1" customFormat="1" ht="12.75">
      <c r="A62" s="50" t="s">
        <v>35</v>
      </c>
      <c r="B62" s="81">
        <v>4</v>
      </c>
      <c r="C62" s="51">
        <f t="shared" si="25"/>
        <v>46.44</v>
      </c>
      <c r="D62" s="52">
        <f t="shared" si="26"/>
        <v>8.08056</v>
      </c>
      <c r="E62" s="75">
        <v>0</v>
      </c>
      <c r="F62" s="51">
        <f t="shared" si="27"/>
        <v>0</v>
      </c>
      <c r="G62" s="52">
        <f t="shared" si="28"/>
        <v>0</v>
      </c>
      <c r="H62" s="56"/>
      <c r="I62" s="57"/>
      <c r="J62" s="52"/>
      <c r="K62" s="54"/>
      <c r="L62" s="53"/>
      <c r="M62" s="53"/>
      <c r="N62" s="54"/>
      <c r="O62" s="54"/>
      <c r="P62" s="54">
        <f t="shared" si="29"/>
        <v>8.08056</v>
      </c>
      <c r="Q62" s="19">
        <f t="shared" si="30"/>
        <v>0.6966</v>
      </c>
      <c r="R62" s="19">
        <f t="shared" si="31"/>
        <v>0.9288000000000001</v>
      </c>
      <c r="S62" s="19">
        <f t="shared" si="32"/>
        <v>0.74304</v>
      </c>
      <c r="T62" s="65">
        <f t="shared" si="33"/>
        <v>2.36844</v>
      </c>
      <c r="U62" s="19">
        <f t="shared" si="34"/>
        <v>1.0216800000000001</v>
      </c>
      <c r="V62" s="89">
        <f t="shared" si="35"/>
        <v>0.97524</v>
      </c>
      <c r="W62" s="68">
        <f t="shared" si="36"/>
        <v>1.9969200000000003</v>
      </c>
      <c r="X62" s="71">
        <f t="shared" si="21"/>
        <v>0.97524</v>
      </c>
      <c r="Y62" s="52">
        <f t="shared" si="22"/>
        <v>1.06812</v>
      </c>
      <c r="Z62" s="55">
        <f t="shared" si="23"/>
        <v>0.6966</v>
      </c>
      <c r="AA62" s="19">
        <f t="shared" si="24"/>
        <v>0.97524</v>
      </c>
      <c r="AB62" s="68">
        <f t="shared" si="37"/>
        <v>2.73996</v>
      </c>
      <c r="AC62" s="68">
        <f t="shared" si="38"/>
        <v>8.080560000000002</v>
      </c>
      <c r="AD62" s="67">
        <f t="shared" si="39"/>
        <v>8.08195849543252</v>
      </c>
    </row>
    <row r="63" spans="1:30" s="1" customFormat="1" ht="12.75">
      <c r="A63" s="50" t="s">
        <v>36</v>
      </c>
      <c r="B63" s="81">
        <v>18</v>
      </c>
      <c r="C63" s="51">
        <f t="shared" si="25"/>
        <v>208.98</v>
      </c>
      <c r="D63" s="52">
        <f t="shared" si="26"/>
        <v>36.362519999999996</v>
      </c>
      <c r="E63" s="75">
        <v>4</v>
      </c>
      <c r="F63" s="51">
        <f t="shared" si="27"/>
        <v>46.44</v>
      </c>
      <c r="G63" s="52">
        <f t="shared" si="28"/>
        <v>8.08056</v>
      </c>
      <c r="H63" s="56"/>
      <c r="I63" s="57"/>
      <c r="J63" s="52"/>
      <c r="K63" s="54"/>
      <c r="L63" s="53"/>
      <c r="M63" s="53"/>
      <c r="N63" s="54"/>
      <c r="O63" s="54"/>
      <c r="P63" s="54">
        <f t="shared" si="29"/>
        <v>44.443079999999995</v>
      </c>
      <c r="Q63" s="19">
        <f t="shared" si="30"/>
        <v>3.8312999999999997</v>
      </c>
      <c r="R63" s="19">
        <f t="shared" si="31"/>
        <v>5.1084</v>
      </c>
      <c r="S63" s="19">
        <f t="shared" si="32"/>
        <v>4.08672</v>
      </c>
      <c r="T63" s="65">
        <f t="shared" si="33"/>
        <v>13.026419999999998</v>
      </c>
      <c r="U63" s="19">
        <f t="shared" si="34"/>
        <v>5.61924</v>
      </c>
      <c r="V63" s="89">
        <f t="shared" si="35"/>
        <v>5.36382</v>
      </c>
      <c r="W63" s="68">
        <f t="shared" si="36"/>
        <v>10.983059999999998</v>
      </c>
      <c r="X63" s="71">
        <f t="shared" si="21"/>
        <v>5.36382</v>
      </c>
      <c r="Y63" s="52">
        <f t="shared" si="22"/>
        <v>5.8746599999999995</v>
      </c>
      <c r="Z63" s="55">
        <f t="shared" si="23"/>
        <v>3.8312999999999997</v>
      </c>
      <c r="AA63" s="19">
        <f t="shared" si="24"/>
        <v>5.36382</v>
      </c>
      <c r="AB63" s="68">
        <f t="shared" si="37"/>
        <v>15.069779999999998</v>
      </c>
      <c r="AC63" s="68">
        <f t="shared" si="38"/>
        <v>44.443079999999995</v>
      </c>
      <c r="AD63" s="67">
        <f t="shared" si="39"/>
        <v>44.45077172487884</v>
      </c>
    </row>
    <row r="64" spans="1:30" s="1" customFormat="1" ht="12.75">
      <c r="A64" s="50" t="s">
        <v>37</v>
      </c>
      <c r="B64" s="81">
        <v>40</v>
      </c>
      <c r="C64" s="51">
        <f t="shared" si="25"/>
        <v>464.4</v>
      </c>
      <c r="D64" s="52">
        <f t="shared" si="26"/>
        <v>80.8056</v>
      </c>
      <c r="E64" s="75">
        <v>24</v>
      </c>
      <c r="F64" s="51">
        <f t="shared" si="27"/>
        <v>278.64</v>
      </c>
      <c r="G64" s="52">
        <f t="shared" si="28"/>
        <v>48.48336</v>
      </c>
      <c r="H64" s="56"/>
      <c r="I64" s="57"/>
      <c r="J64" s="52"/>
      <c r="K64" s="54"/>
      <c r="L64" s="53"/>
      <c r="M64" s="53"/>
      <c r="N64" s="54"/>
      <c r="O64" s="54"/>
      <c r="P64" s="54">
        <f t="shared" si="29"/>
        <v>129.28896</v>
      </c>
      <c r="Q64" s="19">
        <f t="shared" si="30"/>
        <v>11.1456</v>
      </c>
      <c r="R64" s="19">
        <f t="shared" si="31"/>
        <v>14.860800000000001</v>
      </c>
      <c r="S64" s="19">
        <f t="shared" si="32"/>
        <v>11.88864</v>
      </c>
      <c r="T64" s="65">
        <f t="shared" si="33"/>
        <v>37.89504</v>
      </c>
      <c r="U64" s="19">
        <f t="shared" si="34"/>
        <v>16.346880000000002</v>
      </c>
      <c r="V64" s="89">
        <f t="shared" si="35"/>
        <v>15.60384</v>
      </c>
      <c r="W64" s="68">
        <f t="shared" si="36"/>
        <v>31.950720000000004</v>
      </c>
      <c r="X64" s="71">
        <f t="shared" si="21"/>
        <v>15.60384</v>
      </c>
      <c r="Y64" s="52">
        <f t="shared" si="22"/>
        <v>17.08992</v>
      </c>
      <c r="Z64" s="55">
        <f t="shared" si="23"/>
        <v>11.1456</v>
      </c>
      <c r="AA64" s="19">
        <f t="shared" si="24"/>
        <v>15.60384</v>
      </c>
      <c r="AB64" s="68">
        <f t="shared" si="37"/>
        <v>43.83936</v>
      </c>
      <c r="AC64" s="68">
        <f t="shared" si="38"/>
        <v>129.28896000000003</v>
      </c>
      <c r="AD64" s="67">
        <f t="shared" si="39"/>
        <v>129.31133592692032</v>
      </c>
    </row>
    <row r="65" spans="1:30" s="1" customFormat="1" ht="12.75">
      <c r="A65" s="50" t="s">
        <v>38</v>
      </c>
      <c r="B65" s="81">
        <v>22</v>
      </c>
      <c r="C65" s="51">
        <f t="shared" si="25"/>
        <v>255.42</v>
      </c>
      <c r="D65" s="52">
        <f t="shared" si="26"/>
        <v>44.443079999999995</v>
      </c>
      <c r="E65" s="75">
        <v>3</v>
      </c>
      <c r="F65" s="51">
        <f t="shared" si="27"/>
        <v>34.83</v>
      </c>
      <c r="G65" s="52">
        <f t="shared" si="28"/>
        <v>6.06042</v>
      </c>
      <c r="H65" s="56"/>
      <c r="I65" s="57"/>
      <c r="J65" s="52"/>
      <c r="K65"/>
      <c r="L65"/>
      <c r="M65" s="53"/>
      <c r="N65" s="54"/>
      <c r="O65" s="54"/>
      <c r="P65" s="54">
        <f t="shared" si="29"/>
        <v>50.503499999999995</v>
      </c>
      <c r="Q65" s="19">
        <f t="shared" si="30"/>
        <v>4.353749999999999</v>
      </c>
      <c r="R65" s="19">
        <f t="shared" si="31"/>
        <v>5.804999999999999</v>
      </c>
      <c r="S65" s="19">
        <f t="shared" si="32"/>
        <v>4.643999999999999</v>
      </c>
      <c r="T65" s="65">
        <f t="shared" si="33"/>
        <v>14.802749999999996</v>
      </c>
      <c r="U65" s="19">
        <f t="shared" si="34"/>
        <v>6.385499999999999</v>
      </c>
      <c r="V65" s="89">
        <f t="shared" si="35"/>
        <v>6.095249999999999</v>
      </c>
      <c r="W65" s="68">
        <f t="shared" si="36"/>
        <v>12.480749999999997</v>
      </c>
      <c r="X65" s="71">
        <f t="shared" si="21"/>
        <v>6.095249999999999</v>
      </c>
      <c r="Y65" s="52">
        <f t="shared" si="22"/>
        <v>6.675749999999999</v>
      </c>
      <c r="Z65" s="55">
        <f t="shared" si="23"/>
        <v>4.353749999999999</v>
      </c>
      <c r="AA65" s="19">
        <f t="shared" si="24"/>
        <v>6.095249999999999</v>
      </c>
      <c r="AB65" s="68">
        <f t="shared" si="37"/>
        <v>17.12475</v>
      </c>
      <c r="AC65" s="68">
        <f t="shared" si="38"/>
        <v>50.50349999999999</v>
      </c>
      <c r="AD65" s="67">
        <f t="shared" si="39"/>
        <v>50.512240596453225</v>
      </c>
    </row>
    <row r="66" spans="1:30" s="1" customFormat="1" ht="12.75">
      <c r="A66" s="50" t="s">
        <v>39</v>
      </c>
      <c r="B66" s="81">
        <v>9</v>
      </c>
      <c r="C66" s="51">
        <f t="shared" si="25"/>
        <v>104.49</v>
      </c>
      <c r="D66" s="52">
        <f t="shared" si="26"/>
        <v>18.181259999999998</v>
      </c>
      <c r="E66" s="75">
        <v>0</v>
      </c>
      <c r="F66" s="51">
        <f t="shared" si="27"/>
        <v>0</v>
      </c>
      <c r="G66" s="52">
        <f t="shared" si="28"/>
        <v>0</v>
      </c>
      <c r="H66" s="56"/>
      <c r="I66" s="57"/>
      <c r="J66" s="52"/>
      <c r="K66" s="54"/>
      <c r="L66" s="53"/>
      <c r="M66" s="53"/>
      <c r="N66" s="54"/>
      <c r="O66" s="54"/>
      <c r="P66" s="54">
        <f t="shared" si="29"/>
        <v>18.181259999999998</v>
      </c>
      <c r="Q66" s="19">
        <f t="shared" si="30"/>
        <v>1.5673499999999998</v>
      </c>
      <c r="R66" s="19">
        <f t="shared" si="31"/>
        <v>2.0898</v>
      </c>
      <c r="S66" s="19">
        <f t="shared" si="32"/>
        <v>1.6718399999999998</v>
      </c>
      <c r="T66" s="65">
        <f t="shared" si="33"/>
        <v>5.328989999999999</v>
      </c>
      <c r="U66" s="19">
        <f t="shared" si="34"/>
        <v>2.29878</v>
      </c>
      <c r="V66" s="89">
        <f t="shared" si="35"/>
        <v>2.1942899999999996</v>
      </c>
      <c r="W66" s="68">
        <f t="shared" si="36"/>
        <v>4.4930699999999995</v>
      </c>
      <c r="X66" s="71">
        <f t="shared" si="21"/>
        <v>2.1942899999999996</v>
      </c>
      <c r="Y66" s="52">
        <f t="shared" si="22"/>
        <v>2.4032699999999996</v>
      </c>
      <c r="Z66" s="55">
        <f t="shared" si="23"/>
        <v>1.5673499999999998</v>
      </c>
      <c r="AA66" s="19">
        <f t="shared" si="24"/>
        <v>2.1942899999999996</v>
      </c>
      <c r="AB66" s="68">
        <f t="shared" si="37"/>
        <v>6.164909999999999</v>
      </c>
      <c r="AC66" s="68">
        <f t="shared" si="38"/>
        <v>18.181259999999998</v>
      </c>
      <c r="AD66" s="67">
        <f t="shared" si="39"/>
        <v>18.184406614723162</v>
      </c>
    </row>
    <row r="67" spans="1:30" s="1" customFormat="1" ht="12.75">
      <c r="A67" s="50" t="s">
        <v>40</v>
      </c>
      <c r="B67" s="81">
        <v>10</v>
      </c>
      <c r="C67" s="51">
        <f t="shared" si="25"/>
        <v>116.1</v>
      </c>
      <c r="D67" s="52">
        <f t="shared" si="26"/>
        <v>20.2014</v>
      </c>
      <c r="E67" s="75">
        <v>3</v>
      </c>
      <c r="F67" s="51">
        <f t="shared" si="27"/>
        <v>34.83</v>
      </c>
      <c r="G67" s="52">
        <f t="shared" si="28"/>
        <v>6.06042</v>
      </c>
      <c r="H67" s="56"/>
      <c r="I67" s="57"/>
      <c r="J67" s="52"/>
      <c r="K67" s="54"/>
      <c r="L67" s="53"/>
      <c r="M67" s="53"/>
      <c r="N67" s="54"/>
      <c r="O67" s="54"/>
      <c r="P67" s="54">
        <f t="shared" si="29"/>
        <v>26.26182</v>
      </c>
      <c r="Q67" s="19">
        <f t="shared" si="30"/>
        <v>2.2639500000000004</v>
      </c>
      <c r="R67" s="19">
        <f t="shared" si="31"/>
        <v>3.0186</v>
      </c>
      <c r="S67" s="19">
        <f t="shared" si="32"/>
        <v>2.41488</v>
      </c>
      <c r="T67" s="65">
        <f t="shared" si="33"/>
        <v>7.697430000000001</v>
      </c>
      <c r="U67" s="19">
        <f t="shared" si="34"/>
        <v>3.32046</v>
      </c>
      <c r="V67" s="89">
        <f t="shared" si="35"/>
        <v>3.16953</v>
      </c>
      <c r="W67" s="68">
        <f t="shared" si="36"/>
        <v>6.489990000000001</v>
      </c>
      <c r="X67" s="71">
        <f t="shared" si="21"/>
        <v>3.16953</v>
      </c>
      <c r="Y67" s="52">
        <f t="shared" si="22"/>
        <v>3.4713900000000004</v>
      </c>
      <c r="Z67" s="55">
        <f t="shared" si="23"/>
        <v>2.2639500000000004</v>
      </c>
      <c r="AA67" s="19">
        <f t="shared" si="24"/>
        <v>3.16953</v>
      </c>
      <c r="AB67" s="68">
        <f t="shared" si="37"/>
        <v>8.90487</v>
      </c>
      <c r="AC67" s="68">
        <f t="shared" si="38"/>
        <v>26.26182</v>
      </c>
      <c r="AD67" s="67">
        <f t="shared" si="39"/>
        <v>26.266365110155682</v>
      </c>
    </row>
    <row r="68" spans="1:30" s="1" customFormat="1" ht="12.75">
      <c r="A68" s="50" t="s">
        <v>41</v>
      </c>
      <c r="B68" s="81">
        <v>3</v>
      </c>
      <c r="C68" s="51">
        <f t="shared" si="25"/>
        <v>34.83</v>
      </c>
      <c r="D68" s="52">
        <f t="shared" si="26"/>
        <v>6.06042</v>
      </c>
      <c r="E68" s="75">
        <v>0</v>
      </c>
      <c r="F68" s="51">
        <f t="shared" si="27"/>
        <v>0</v>
      </c>
      <c r="G68" s="52">
        <f t="shared" si="28"/>
        <v>0</v>
      </c>
      <c r="H68" s="56"/>
      <c r="I68" s="58"/>
      <c r="J68" s="54"/>
      <c r="K68" s="54"/>
      <c r="L68" s="53"/>
      <c r="M68" s="53"/>
      <c r="N68" s="54"/>
      <c r="O68" s="54"/>
      <c r="P68" s="54">
        <f t="shared" si="29"/>
        <v>6.06042</v>
      </c>
      <c r="Q68" s="19">
        <f t="shared" si="30"/>
        <v>0.52245</v>
      </c>
      <c r="R68" s="19">
        <f t="shared" si="31"/>
        <v>0.6966</v>
      </c>
      <c r="S68" s="19">
        <f t="shared" si="32"/>
        <v>0.55728</v>
      </c>
      <c r="T68" s="65">
        <f t="shared" si="33"/>
        <v>1.77633</v>
      </c>
      <c r="U68" s="19">
        <f t="shared" si="34"/>
        <v>0.7662599999999999</v>
      </c>
      <c r="V68" s="89">
        <f t="shared" si="35"/>
        <v>0.73143</v>
      </c>
      <c r="W68" s="68">
        <f t="shared" si="36"/>
        <v>1.49769</v>
      </c>
      <c r="X68" s="71">
        <f t="shared" si="21"/>
        <v>0.73143</v>
      </c>
      <c r="Y68" s="52">
        <f t="shared" si="22"/>
        <v>0.80109</v>
      </c>
      <c r="Z68" s="55">
        <f t="shared" si="23"/>
        <v>0.52245</v>
      </c>
      <c r="AA68" s="19">
        <f t="shared" si="24"/>
        <v>0.73143</v>
      </c>
      <c r="AB68" s="68">
        <f t="shared" si="37"/>
        <v>2.05497</v>
      </c>
      <c r="AC68" s="68">
        <f t="shared" si="38"/>
        <v>6.06042</v>
      </c>
      <c r="AD68" s="67">
        <f t="shared" si="39"/>
        <v>6.061468871574388</v>
      </c>
    </row>
    <row r="69" spans="1:30" s="1" customFormat="1" ht="12.75">
      <c r="A69" s="33" t="s">
        <v>42</v>
      </c>
      <c r="B69" s="104">
        <v>8</v>
      </c>
      <c r="C69" s="51">
        <f t="shared" si="25"/>
        <v>92.88</v>
      </c>
      <c r="D69" s="105">
        <f t="shared" si="26"/>
        <v>16.16112</v>
      </c>
      <c r="E69" s="76">
        <v>0</v>
      </c>
      <c r="F69" s="51">
        <f t="shared" si="27"/>
        <v>0</v>
      </c>
      <c r="G69" s="105">
        <f t="shared" si="28"/>
        <v>0</v>
      </c>
      <c r="H69" s="106"/>
      <c r="I69" s="107"/>
      <c r="J69" s="63"/>
      <c r="K69" s="63"/>
      <c r="L69" s="59"/>
      <c r="M69" s="59"/>
      <c r="N69" s="63"/>
      <c r="O69" s="63"/>
      <c r="P69" s="63">
        <f t="shared" si="29"/>
        <v>16.16112</v>
      </c>
      <c r="Q69" s="108">
        <f t="shared" si="30"/>
        <v>1.3932</v>
      </c>
      <c r="R69" s="108">
        <f t="shared" si="31"/>
        <v>1.8576000000000001</v>
      </c>
      <c r="S69" s="108">
        <f t="shared" si="32"/>
        <v>1.48608</v>
      </c>
      <c r="T69" s="65">
        <f t="shared" si="33"/>
        <v>4.73688</v>
      </c>
      <c r="U69" s="108">
        <f t="shared" si="34"/>
        <v>2.0433600000000003</v>
      </c>
      <c r="V69" s="109">
        <f t="shared" si="35"/>
        <v>1.95048</v>
      </c>
      <c r="W69" s="68">
        <f t="shared" si="36"/>
        <v>3.9938400000000005</v>
      </c>
      <c r="X69" s="115">
        <f t="shared" si="21"/>
        <v>1.95048</v>
      </c>
      <c r="Y69" s="105">
        <f t="shared" si="22"/>
        <v>2.13624</v>
      </c>
      <c r="Z69" s="110">
        <f t="shared" si="23"/>
        <v>1.3932</v>
      </c>
      <c r="AA69" s="108">
        <f t="shared" si="24"/>
        <v>1.95048</v>
      </c>
      <c r="AB69" s="68">
        <f t="shared" si="37"/>
        <v>5.47992</v>
      </c>
      <c r="AC69" s="68">
        <f t="shared" si="38"/>
        <v>16.161120000000004</v>
      </c>
      <c r="AD69" s="67">
        <f t="shared" si="39"/>
        <v>16.16391699086504</v>
      </c>
    </row>
    <row r="70" spans="1:30" s="1" customFormat="1" ht="12.75">
      <c r="A70" s="65" t="s">
        <v>43</v>
      </c>
      <c r="B70" s="82">
        <f aca="true" t="shared" si="40" ref="B70:AC70">SUM(B48:B69)</f>
        <v>819</v>
      </c>
      <c r="C70" s="66">
        <f t="shared" si="40"/>
        <v>9508.589999999997</v>
      </c>
      <c r="D70" s="111">
        <f t="shared" si="40"/>
        <v>1654.4946599999998</v>
      </c>
      <c r="E70" s="82">
        <f t="shared" si="40"/>
        <v>198</v>
      </c>
      <c r="F70" s="82">
        <f t="shared" si="40"/>
        <v>2298.7799999999997</v>
      </c>
      <c r="G70" s="112">
        <f t="shared" si="40"/>
        <v>399.9877200000001</v>
      </c>
      <c r="H70" s="69">
        <f t="shared" si="40"/>
        <v>100</v>
      </c>
      <c r="I70" s="67">
        <f t="shared" si="40"/>
        <v>2062</v>
      </c>
      <c r="J70" s="68">
        <f t="shared" si="40"/>
        <v>358.788</v>
      </c>
      <c r="K70" s="67">
        <f t="shared" si="40"/>
        <v>50</v>
      </c>
      <c r="L70" s="67">
        <f t="shared" si="40"/>
        <v>0</v>
      </c>
      <c r="M70" s="67">
        <f t="shared" si="40"/>
        <v>0</v>
      </c>
      <c r="N70" s="67">
        <f t="shared" si="40"/>
        <v>580.5</v>
      </c>
      <c r="O70" s="68">
        <f t="shared" si="40"/>
        <v>60.9525</v>
      </c>
      <c r="P70" s="68">
        <f t="shared" si="40"/>
        <v>2474.2228799999993</v>
      </c>
      <c r="Q70" s="68">
        <f t="shared" si="40"/>
        <v>213.2950758620689</v>
      </c>
      <c r="R70" s="68">
        <f t="shared" si="40"/>
        <v>284.3934344827586</v>
      </c>
      <c r="S70" s="68">
        <f t="shared" si="40"/>
        <v>227.51474758620694</v>
      </c>
      <c r="T70" s="68">
        <f t="shared" si="40"/>
        <v>725.2032579310345</v>
      </c>
      <c r="U70" s="68">
        <f t="shared" si="40"/>
        <v>312.83277793103446</v>
      </c>
      <c r="V70" s="68">
        <f t="shared" si="40"/>
        <v>298.61310620689653</v>
      </c>
      <c r="W70" s="68">
        <f t="shared" si="40"/>
        <v>611.4458841379311</v>
      </c>
      <c r="X70" s="68">
        <f t="shared" si="40"/>
        <v>298.61310620689653</v>
      </c>
      <c r="Y70" s="68">
        <f t="shared" si="40"/>
        <v>327.0524496551724</v>
      </c>
      <c r="Z70" s="68">
        <f t="shared" si="40"/>
        <v>213.2950758620689</v>
      </c>
      <c r="AA70" s="68">
        <f t="shared" si="40"/>
        <v>298.61310620689653</v>
      </c>
      <c r="AB70" s="68">
        <f t="shared" si="40"/>
        <v>838.960631724138</v>
      </c>
      <c r="AC70" s="68">
        <f t="shared" si="40"/>
        <v>2474.2228799999993</v>
      </c>
      <c r="AD70" s="65">
        <v>2425</v>
      </c>
    </row>
    <row r="71" spans="1:30" s="1" customFormat="1" ht="12.75">
      <c r="A71" s="12" t="s">
        <v>73</v>
      </c>
      <c r="B71" s="2"/>
      <c r="C71" s="2"/>
      <c r="D71" s="2"/>
      <c r="E71" s="2"/>
      <c r="F71" s="2"/>
      <c r="G71" s="2"/>
      <c r="H71" s="3"/>
      <c r="I71" s="25"/>
      <c r="J71" s="26"/>
      <c r="K71" s="26"/>
      <c r="L71" s="3"/>
      <c r="M71" s="3"/>
      <c r="N71" s="26"/>
      <c r="O71" s="26"/>
      <c r="P71" s="13"/>
      <c r="U71" s="13"/>
      <c r="X71" s="13"/>
      <c r="AD71" s="116"/>
    </row>
    <row r="72" spans="1:27" s="1" customFormat="1" ht="12.75">
      <c r="A72" s="1" t="s">
        <v>74</v>
      </c>
      <c r="B72" s="10"/>
      <c r="C72" s="11"/>
      <c r="D72" s="70"/>
      <c r="E72" s="70"/>
      <c r="F72" s="70"/>
      <c r="G72" s="70"/>
      <c r="H72" s="24"/>
      <c r="I72" s="25"/>
      <c r="J72" s="25"/>
      <c r="K72" s="3"/>
      <c r="L72" s="70"/>
      <c r="M72" s="70"/>
      <c r="N72" s="70"/>
      <c r="O72" s="24"/>
      <c r="P72" s="24"/>
      <c r="Q72" s="25"/>
      <c r="R72" s="25"/>
      <c r="S72" s="25"/>
      <c r="T72" s="25"/>
      <c r="U72" s="3"/>
      <c r="V72" s="70"/>
      <c r="W72" s="70"/>
      <c r="X72" s="10"/>
      <c r="Y72" s="11"/>
      <c r="Z72" s="11"/>
      <c r="AA72" s="1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workbookViewId="0" topLeftCell="A4">
      <selection activeCell="I7" sqref="I7"/>
    </sheetView>
  </sheetViews>
  <sheetFormatPr defaultColWidth="9.140625" defaultRowHeight="12.75"/>
  <cols>
    <col min="1" max="1" width="28.421875" style="0" customWidth="1"/>
    <col min="2" max="2" width="6.421875" style="0" customWidth="1"/>
    <col min="3" max="3" width="8.57421875" style="0" customWidth="1"/>
    <col min="4" max="4" width="7.7109375" style="0" customWidth="1"/>
    <col min="5" max="5" width="8.8515625" style="0" customWidth="1"/>
    <col min="6" max="6" width="7.140625" style="0" customWidth="1"/>
    <col min="7" max="7" width="8.57421875" style="0" customWidth="1"/>
    <col min="8" max="8" width="7.7109375" style="0" customWidth="1"/>
    <col min="9" max="9" width="8.57421875" style="0" customWidth="1"/>
    <col min="10" max="10" width="7.28125" style="0" customWidth="1"/>
    <col min="11" max="12" width="6.57421875" style="0" customWidth="1"/>
    <col min="13" max="13" width="7.00390625" style="0" customWidth="1"/>
    <col min="14" max="14" width="6.8515625" style="0" customWidth="1"/>
    <col min="15" max="15" width="6.7109375" style="0" customWidth="1"/>
    <col min="16" max="16" width="7.140625" style="0" customWidth="1"/>
    <col min="17" max="17" width="6.57421875" style="0" customWidth="1"/>
    <col min="18" max="18" width="7.57421875" style="0" customWidth="1"/>
    <col min="19" max="19" width="6.7109375" style="0" customWidth="1"/>
  </cols>
  <sheetData>
    <row r="1" spans="8:9" ht="12.75">
      <c r="H1" s="1"/>
      <c r="I1" t="s">
        <v>62</v>
      </c>
    </row>
    <row r="2" spans="4:9" ht="12.75">
      <c r="D2" s="1"/>
      <c r="E2" s="1"/>
      <c r="F2" s="1"/>
      <c r="G2" s="1"/>
      <c r="H2" s="1"/>
      <c r="I2" t="s">
        <v>110</v>
      </c>
    </row>
    <row r="3" spans="9:12" ht="12.75">
      <c r="I3" t="s">
        <v>64</v>
      </c>
      <c r="J3" s="25"/>
      <c r="K3" s="26"/>
      <c r="L3" s="26"/>
    </row>
    <row r="4" spans="1:21" s="1" customFormat="1" ht="12.75">
      <c r="A4" s="3"/>
      <c r="B4" s="22"/>
      <c r="C4"/>
      <c r="D4"/>
      <c r="E4"/>
      <c r="F4"/>
      <c r="G4"/>
      <c r="H4"/>
      <c r="I4" t="s">
        <v>65</v>
      </c>
      <c r="M4" s="23"/>
      <c r="N4" s="22"/>
      <c r="T4" s="26"/>
      <c r="U4" s="26"/>
    </row>
    <row r="5" spans="2:20" ht="12.75">
      <c r="B5" t="s">
        <v>66</v>
      </c>
      <c r="K5" s="1"/>
      <c r="L5" s="1"/>
      <c r="M5" s="1"/>
      <c r="N5" s="1"/>
      <c r="T5" s="1"/>
    </row>
    <row r="6" spans="1:20" ht="12.75">
      <c r="A6" t="s">
        <v>107</v>
      </c>
      <c r="K6" s="1"/>
      <c r="L6" s="1"/>
      <c r="M6" s="1"/>
      <c r="N6" s="1"/>
      <c r="T6" s="1"/>
    </row>
    <row r="7" spans="2:20" ht="12.75">
      <c r="B7" s="135" t="s">
        <v>108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1:20" ht="12.75">
      <c r="K8" s="1"/>
      <c r="L8" s="1"/>
      <c r="M8" s="1"/>
      <c r="N8" s="1"/>
      <c r="O8" s="1"/>
      <c r="P8" s="1"/>
      <c r="Q8" s="1"/>
      <c r="R8" s="1"/>
      <c r="S8" s="1"/>
      <c r="T8" s="1"/>
    </row>
    <row r="9" spans="1:21" ht="12.75">
      <c r="A9" s="29"/>
      <c r="B9" s="30" t="s">
        <v>0</v>
      </c>
      <c r="C9" s="14" t="s">
        <v>2</v>
      </c>
      <c r="D9" s="73" t="s">
        <v>0</v>
      </c>
      <c r="E9" s="131" t="s">
        <v>99</v>
      </c>
      <c r="F9" s="126" t="s">
        <v>0</v>
      </c>
      <c r="G9" s="14" t="s">
        <v>2</v>
      </c>
      <c r="H9" s="32" t="s">
        <v>0</v>
      </c>
      <c r="I9" s="4" t="s">
        <v>2</v>
      </c>
      <c r="J9" s="4"/>
      <c r="K9" s="64">
        <v>2010</v>
      </c>
      <c r="L9" s="64">
        <v>2010</v>
      </c>
      <c r="M9" s="64">
        <v>2010</v>
      </c>
      <c r="N9" s="64">
        <v>2010</v>
      </c>
      <c r="O9" s="64">
        <v>2011</v>
      </c>
      <c r="P9" s="64">
        <v>2011</v>
      </c>
      <c r="Q9" s="64">
        <v>2011</v>
      </c>
      <c r="R9" s="64">
        <v>2011</v>
      </c>
      <c r="S9" s="64">
        <v>2011</v>
      </c>
      <c r="T9" s="27"/>
      <c r="U9" s="5"/>
    </row>
    <row r="10" spans="1:21" ht="12.75">
      <c r="A10" s="34"/>
      <c r="B10" s="35" t="s">
        <v>4</v>
      </c>
      <c r="C10" s="134" t="s">
        <v>101</v>
      </c>
      <c r="D10" s="21" t="s">
        <v>57</v>
      </c>
      <c r="E10" s="36" t="s">
        <v>50</v>
      </c>
      <c r="F10" s="128" t="s">
        <v>91</v>
      </c>
      <c r="G10" s="133" t="s">
        <v>50</v>
      </c>
      <c r="H10" s="20" t="s">
        <v>4</v>
      </c>
      <c r="I10" s="2" t="s">
        <v>104</v>
      </c>
      <c r="J10" s="6" t="s">
        <v>5</v>
      </c>
      <c r="K10" s="20" t="s">
        <v>6</v>
      </c>
      <c r="L10" s="20" t="s">
        <v>7</v>
      </c>
      <c r="M10" s="20" t="s">
        <v>52</v>
      </c>
      <c r="N10" s="37" t="s">
        <v>8</v>
      </c>
      <c r="O10" s="17" t="s">
        <v>45</v>
      </c>
      <c r="P10" s="17" t="s">
        <v>54</v>
      </c>
      <c r="Q10" s="17" t="s">
        <v>46</v>
      </c>
      <c r="R10" s="17" t="s">
        <v>47</v>
      </c>
      <c r="S10" s="21" t="s">
        <v>48</v>
      </c>
      <c r="T10" s="1"/>
      <c r="U10" s="5"/>
    </row>
    <row r="11" spans="1:21" ht="12.75">
      <c r="A11" s="34" t="s">
        <v>9</v>
      </c>
      <c r="B11" s="35" t="s">
        <v>10</v>
      </c>
      <c r="C11" s="134" t="s">
        <v>103</v>
      </c>
      <c r="D11" s="21" t="s">
        <v>58</v>
      </c>
      <c r="E11" s="36" t="s">
        <v>103</v>
      </c>
      <c r="F11" s="128" t="s">
        <v>92</v>
      </c>
      <c r="G11" s="133" t="s">
        <v>95</v>
      </c>
      <c r="H11" s="20" t="s">
        <v>12</v>
      </c>
      <c r="I11" s="2" t="s">
        <v>105</v>
      </c>
      <c r="J11" s="42">
        <v>40422</v>
      </c>
      <c r="K11" s="20" t="s">
        <v>15</v>
      </c>
      <c r="L11" s="20" t="s">
        <v>15</v>
      </c>
      <c r="M11" s="37" t="s">
        <v>15</v>
      </c>
      <c r="N11" s="37" t="s">
        <v>15</v>
      </c>
      <c r="O11" s="17" t="s">
        <v>56</v>
      </c>
      <c r="P11" s="17" t="s">
        <v>55</v>
      </c>
      <c r="Q11" s="17"/>
      <c r="R11" s="17" t="s">
        <v>53</v>
      </c>
      <c r="S11" s="17"/>
      <c r="T11" s="1"/>
      <c r="U11" s="1"/>
    </row>
    <row r="12" spans="1:21" ht="12.75">
      <c r="A12" s="34"/>
      <c r="B12" s="35" t="s">
        <v>16</v>
      </c>
      <c r="C12" s="133" t="s">
        <v>96</v>
      </c>
      <c r="D12" s="85"/>
      <c r="E12" s="132" t="s">
        <v>96</v>
      </c>
      <c r="F12" s="129" t="s">
        <v>93</v>
      </c>
      <c r="G12" s="133" t="s">
        <v>96</v>
      </c>
      <c r="H12" s="44"/>
      <c r="I12" s="6" t="s">
        <v>96</v>
      </c>
      <c r="J12" s="42">
        <v>40664</v>
      </c>
      <c r="K12" s="7"/>
      <c r="L12" s="7"/>
      <c r="M12" s="7"/>
      <c r="N12" s="15"/>
      <c r="O12" s="17"/>
      <c r="P12" s="17"/>
      <c r="Q12" s="17"/>
      <c r="R12" s="21"/>
      <c r="S12" s="17"/>
      <c r="T12" s="27"/>
      <c r="U12" s="1"/>
    </row>
    <row r="13" spans="2:21" ht="12.75">
      <c r="B13" s="20">
        <v>2010</v>
      </c>
      <c r="C13" s="15" t="s">
        <v>4</v>
      </c>
      <c r="D13" s="21" t="s">
        <v>59</v>
      </c>
      <c r="E13" s="86" t="s">
        <v>89</v>
      </c>
      <c r="F13" s="128" t="s">
        <v>94</v>
      </c>
      <c r="G13" s="85" t="s">
        <v>92</v>
      </c>
      <c r="H13" s="20"/>
      <c r="I13" s="7" t="s">
        <v>4</v>
      </c>
      <c r="J13" s="6" t="s">
        <v>50</v>
      </c>
      <c r="K13" s="20">
        <v>22</v>
      </c>
      <c r="L13" s="20">
        <v>20</v>
      </c>
      <c r="M13" s="20">
        <v>17</v>
      </c>
      <c r="N13" s="37">
        <v>23</v>
      </c>
      <c r="O13" s="21">
        <v>15</v>
      </c>
      <c r="P13" s="21">
        <v>20</v>
      </c>
      <c r="Q13" s="21">
        <v>16</v>
      </c>
      <c r="R13" s="45">
        <v>21</v>
      </c>
      <c r="S13" s="17">
        <v>20</v>
      </c>
      <c r="T13" s="27"/>
      <c r="U13" s="5"/>
    </row>
    <row r="14" spans="2:21" ht="12.75">
      <c r="B14" s="40"/>
      <c r="C14" s="15" t="s">
        <v>102</v>
      </c>
      <c r="D14" s="45" t="s">
        <v>60</v>
      </c>
      <c r="E14" s="85" t="s">
        <v>90</v>
      </c>
      <c r="F14" s="86"/>
      <c r="G14" s="86" t="s">
        <v>97</v>
      </c>
      <c r="H14" s="20"/>
      <c r="I14" s="6" t="s">
        <v>106</v>
      </c>
      <c r="J14" s="6" t="s">
        <v>19</v>
      </c>
      <c r="K14" s="20" t="s">
        <v>49</v>
      </c>
      <c r="L14" s="20" t="s">
        <v>49</v>
      </c>
      <c r="M14" s="20" t="s">
        <v>49</v>
      </c>
      <c r="N14" s="20" t="s">
        <v>49</v>
      </c>
      <c r="O14" s="20" t="s">
        <v>49</v>
      </c>
      <c r="P14" s="20" t="s">
        <v>49</v>
      </c>
      <c r="Q14" s="20" t="s">
        <v>49</v>
      </c>
      <c r="R14" s="20" t="s">
        <v>49</v>
      </c>
      <c r="S14" s="20" t="s">
        <v>49</v>
      </c>
      <c r="T14" s="27"/>
      <c r="U14" s="5"/>
    </row>
    <row r="15" spans="1:21" ht="12.75">
      <c r="A15" s="34"/>
      <c r="B15" s="47"/>
      <c r="C15" s="133" t="s">
        <v>100</v>
      </c>
      <c r="D15" s="21" t="s">
        <v>61</v>
      </c>
      <c r="E15" s="85" t="s">
        <v>100</v>
      </c>
      <c r="F15" s="85"/>
      <c r="G15" s="85" t="s">
        <v>98</v>
      </c>
      <c r="H15" s="39"/>
      <c r="I15" s="6" t="s">
        <v>100</v>
      </c>
      <c r="J15" s="9" t="s">
        <v>20</v>
      </c>
      <c r="K15" s="9"/>
      <c r="L15" s="9"/>
      <c r="M15" s="9"/>
      <c r="N15" s="16"/>
      <c r="O15" s="48"/>
      <c r="P15" s="48"/>
      <c r="Q15" s="48"/>
      <c r="R15" s="49"/>
      <c r="S15" s="49"/>
      <c r="T15" s="1"/>
      <c r="U15" s="3"/>
    </row>
    <row r="16" spans="1:21" ht="12.75">
      <c r="A16" s="50" t="s">
        <v>21</v>
      </c>
      <c r="B16" s="80">
        <v>68</v>
      </c>
      <c r="C16" s="55">
        <f>B16*11.61*174/1000</f>
        <v>137.36952</v>
      </c>
      <c r="D16" s="91">
        <v>17</v>
      </c>
      <c r="E16" s="125">
        <f>D16*11.61*174/1000</f>
        <v>34.34238</v>
      </c>
      <c r="F16" s="125">
        <v>22</v>
      </c>
      <c r="G16" s="52">
        <f>F16*11.61*174/1000</f>
        <v>44.443079999999995</v>
      </c>
      <c r="H16" s="50"/>
      <c r="I16" s="54"/>
      <c r="J16" s="54">
        <f>C16+E16+G16+I16</f>
        <v>216.15497999999997</v>
      </c>
      <c r="K16" s="52">
        <f>J16/174*22</f>
        <v>27.329939999999993</v>
      </c>
      <c r="L16" s="52">
        <f>J16/174*20</f>
        <v>24.845399999999994</v>
      </c>
      <c r="M16" s="52">
        <f>J16/174*17</f>
        <v>21.118589999999998</v>
      </c>
      <c r="N16" s="55">
        <f>J16/174*23</f>
        <v>28.572209999999995</v>
      </c>
      <c r="O16" s="19">
        <f>J16/174*15</f>
        <v>18.634049999999995</v>
      </c>
      <c r="P16" s="19">
        <f>J16/174*20</f>
        <v>24.845399999999994</v>
      </c>
      <c r="Q16" s="18">
        <f>J16/174*16</f>
        <v>19.876319999999996</v>
      </c>
      <c r="R16" s="89">
        <f>J16/174*21</f>
        <v>26.087669999999996</v>
      </c>
      <c r="S16" s="19">
        <f>J16/174*20</f>
        <v>24.845399999999994</v>
      </c>
      <c r="T16" s="26"/>
      <c r="U16" s="26"/>
    </row>
    <row r="17" spans="1:21" ht="12.75">
      <c r="A17" s="39" t="s">
        <v>22</v>
      </c>
      <c r="B17" s="20">
        <v>49</v>
      </c>
      <c r="C17" s="55">
        <f aca="true" t="shared" si="0" ref="C17:C37">B17*11.61*174/1000</f>
        <v>98.98686000000001</v>
      </c>
      <c r="D17" s="76">
        <v>15</v>
      </c>
      <c r="E17" s="125">
        <f aca="true" t="shared" si="1" ref="E17:E37">D17*11.61*174/1000</f>
        <v>30.302099999999996</v>
      </c>
      <c r="F17" s="125">
        <v>22</v>
      </c>
      <c r="G17" s="52">
        <f aca="true" t="shared" si="2" ref="G17:G37">F17*11.61*174/1000</f>
        <v>44.443079999999995</v>
      </c>
      <c r="H17" s="39"/>
      <c r="I17" s="54"/>
      <c r="J17" s="54">
        <f aca="true" t="shared" si="3" ref="J17:J37">C17+E17+G17+I17</f>
        <v>173.73203999999998</v>
      </c>
      <c r="K17" s="52">
        <f aca="true" t="shared" si="4" ref="K17:K37">J17/174*22</f>
        <v>21.966119999999997</v>
      </c>
      <c r="L17" s="52">
        <f aca="true" t="shared" si="5" ref="L17:L37">J17/174*20</f>
        <v>19.969199999999997</v>
      </c>
      <c r="M17" s="52">
        <f aca="true" t="shared" si="6" ref="M17:M37">J17/174*17</f>
        <v>16.97382</v>
      </c>
      <c r="N17" s="55">
        <f aca="true" t="shared" si="7" ref="N17:N37">J17/174*23</f>
        <v>22.964579999999998</v>
      </c>
      <c r="O17" s="19">
        <f aca="true" t="shared" si="8" ref="O17:O37">J17/174*15</f>
        <v>14.976899999999999</v>
      </c>
      <c r="P17" s="19">
        <f aca="true" t="shared" si="9" ref="P17:P37">J17/174*20</f>
        <v>19.969199999999997</v>
      </c>
      <c r="Q17" s="18">
        <f aca="true" t="shared" si="10" ref="Q17:Q37">J17/174*16</f>
        <v>15.975359999999998</v>
      </c>
      <c r="R17" s="89">
        <f aca="true" t="shared" si="11" ref="R17:R37">J17/174*21</f>
        <v>20.96766</v>
      </c>
      <c r="S17" s="19">
        <f aca="true" t="shared" si="12" ref="S17:S37">J17/174*20</f>
        <v>19.969199999999997</v>
      </c>
      <c r="T17" s="26"/>
      <c r="U17" s="26"/>
    </row>
    <row r="18" spans="1:21" s="1" customFormat="1" ht="12.75">
      <c r="A18" s="50" t="s">
        <v>23</v>
      </c>
      <c r="B18" s="80">
        <v>54</v>
      </c>
      <c r="C18" s="55">
        <f t="shared" si="0"/>
        <v>109.08755999999998</v>
      </c>
      <c r="D18" s="77">
        <v>7</v>
      </c>
      <c r="E18" s="125">
        <f t="shared" si="1"/>
        <v>14.140979999999999</v>
      </c>
      <c r="F18" s="125">
        <v>11</v>
      </c>
      <c r="G18" s="52">
        <f t="shared" si="2"/>
        <v>22.221539999999997</v>
      </c>
      <c r="H18" s="33"/>
      <c r="I18" s="54"/>
      <c r="J18" s="54">
        <f t="shared" si="3"/>
        <v>145.45007999999999</v>
      </c>
      <c r="K18" s="52">
        <f t="shared" si="4"/>
        <v>18.39024</v>
      </c>
      <c r="L18" s="52">
        <f t="shared" si="5"/>
        <v>16.7184</v>
      </c>
      <c r="M18" s="52">
        <f t="shared" si="6"/>
        <v>14.210639999999998</v>
      </c>
      <c r="N18" s="55">
        <f t="shared" si="7"/>
        <v>19.226159999999997</v>
      </c>
      <c r="O18" s="19">
        <f t="shared" si="8"/>
        <v>12.538799999999998</v>
      </c>
      <c r="P18" s="19">
        <f t="shared" si="9"/>
        <v>16.7184</v>
      </c>
      <c r="Q18" s="18">
        <f t="shared" si="10"/>
        <v>13.374719999999998</v>
      </c>
      <c r="R18" s="89">
        <f t="shared" si="11"/>
        <v>17.554319999999997</v>
      </c>
      <c r="S18" s="19">
        <f t="shared" si="12"/>
        <v>16.7184</v>
      </c>
      <c r="T18" s="26"/>
      <c r="U18" s="26"/>
    </row>
    <row r="19" spans="1:21" s="1" customFormat="1" ht="12.75">
      <c r="A19" s="1" t="s">
        <v>24</v>
      </c>
      <c r="B19" s="80">
        <v>24</v>
      </c>
      <c r="C19" s="55">
        <f t="shared" si="0"/>
        <v>48.48336</v>
      </c>
      <c r="D19" s="78">
        <v>6</v>
      </c>
      <c r="E19" s="125">
        <f t="shared" si="1"/>
        <v>12.12084</v>
      </c>
      <c r="F19" s="127">
        <v>6</v>
      </c>
      <c r="G19" s="52">
        <f t="shared" si="2"/>
        <v>12.12084</v>
      </c>
      <c r="H19" s="18"/>
      <c r="I19" s="71"/>
      <c r="J19" s="54">
        <f t="shared" si="3"/>
        <v>72.72503999999999</v>
      </c>
      <c r="K19" s="52">
        <f t="shared" si="4"/>
        <v>9.19512</v>
      </c>
      <c r="L19" s="52">
        <f t="shared" si="5"/>
        <v>8.3592</v>
      </c>
      <c r="M19" s="52">
        <f t="shared" si="6"/>
        <v>7.105319999999999</v>
      </c>
      <c r="N19" s="55">
        <f t="shared" si="7"/>
        <v>9.613079999999998</v>
      </c>
      <c r="O19" s="19">
        <f t="shared" si="8"/>
        <v>6.269399999999999</v>
      </c>
      <c r="P19" s="19">
        <f t="shared" si="9"/>
        <v>8.3592</v>
      </c>
      <c r="Q19" s="18">
        <f t="shared" si="10"/>
        <v>6.687359999999999</v>
      </c>
      <c r="R19" s="89">
        <f t="shared" si="11"/>
        <v>8.777159999999999</v>
      </c>
      <c r="S19" s="19">
        <f t="shared" si="12"/>
        <v>8.3592</v>
      </c>
      <c r="T19" s="26"/>
      <c r="U19" s="26"/>
    </row>
    <row r="20" spans="1:21" s="1" customFormat="1" ht="12.75">
      <c r="A20" s="50" t="s">
        <v>25</v>
      </c>
      <c r="B20" s="81">
        <v>155</v>
      </c>
      <c r="C20" s="55">
        <f t="shared" si="0"/>
        <v>313.12170000000003</v>
      </c>
      <c r="D20" s="75">
        <v>35</v>
      </c>
      <c r="E20" s="125">
        <f t="shared" si="1"/>
        <v>70.7049</v>
      </c>
      <c r="F20" s="125">
        <v>44</v>
      </c>
      <c r="G20" s="52">
        <f t="shared" si="2"/>
        <v>88.88615999999999</v>
      </c>
      <c r="H20" s="56">
        <v>50</v>
      </c>
      <c r="I20" s="52">
        <f>H20*20.62*174/1000</f>
        <v>179.394</v>
      </c>
      <c r="J20" s="54">
        <f t="shared" si="3"/>
        <v>652.10676</v>
      </c>
      <c r="K20" s="52">
        <f t="shared" si="4"/>
        <v>82.45027999999999</v>
      </c>
      <c r="L20" s="52">
        <f t="shared" si="5"/>
        <v>74.95479999999999</v>
      </c>
      <c r="M20" s="52">
        <f t="shared" si="6"/>
        <v>63.71158</v>
      </c>
      <c r="N20" s="55">
        <f t="shared" si="7"/>
        <v>86.19802</v>
      </c>
      <c r="O20" s="19">
        <f t="shared" si="8"/>
        <v>56.2161</v>
      </c>
      <c r="P20" s="19">
        <f t="shared" si="9"/>
        <v>74.95479999999999</v>
      </c>
      <c r="Q20" s="18">
        <f t="shared" si="10"/>
        <v>59.96384</v>
      </c>
      <c r="R20" s="89">
        <f t="shared" si="11"/>
        <v>78.70254</v>
      </c>
      <c r="S20" s="19">
        <f t="shared" si="12"/>
        <v>74.95479999999999</v>
      </c>
      <c r="T20" s="26"/>
      <c r="U20" s="26"/>
    </row>
    <row r="21" spans="1:21" s="1" customFormat="1" ht="12.75">
      <c r="A21" s="50" t="s">
        <v>26</v>
      </c>
      <c r="B21" s="81">
        <v>150</v>
      </c>
      <c r="C21" s="55">
        <f t="shared" si="0"/>
        <v>303.021</v>
      </c>
      <c r="D21" s="75">
        <v>18</v>
      </c>
      <c r="E21" s="125">
        <f t="shared" si="1"/>
        <v>36.362519999999996</v>
      </c>
      <c r="F21" s="125">
        <v>51</v>
      </c>
      <c r="G21" s="52">
        <f t="shared" si="2"/>
        <v>103.02714</v>
      </c>
      <c r="H21" s="56"/>
      <c r="I21" s="52"/>
      <c r="J21" s="54">
        <f t="shared" si="3"/>
        <v>442.41066</v>
      </c>
      <c r="K21" s="52">
        <f t="shared" si="4"/>
        <v>55.936980000000005</v>
      </c>
      <c r="L21" s="52">
        <f t="shared" si="5"/>
        <v>50.851800000000004</v>
      </c>
      <c r="M21" s="52">
        <f t="shared" si="6"/>
        <v>43.22403</v>
      </c>
      <c r="N21" s="55">
        <f t="shared" si="7"/>
        <v>58.47957</v>
      </c>
      <c r="O21" s="19">
        <f t="shared" si="8"/>
        <v>38.138850000000005</v>
      </c>
      <c r="P21" s="19">
        <f t="shared" si="9"/>
        <v>50.851800000000004</v>
      </c>
      <c r="Q21" s="18">
        <f t="shared" si="10"/>
        <v>40.68144</v>
      </c>
      <c r="R21" s="89">
        <f t="shared" si="11"/>
        <v>53.39439</v>
      </c>
      <c r="S21" s="19">
        <f t="shared" si="12"/>
        <v>50.851800000000004</v>
      </c>
      <c r="T21" s="26"/>
      <c r="U21" s="26"/>
    </row>
    <row r="22" spans="1:21" s="1" customFormat="1" ht="12.75">
      <c r="A22" s="50" t="s">
        <v>27</v>
      </c>
      <c r="B22" s="81">
        <v>61</v>
      </c>
      <c r="C22" s="55">
        <f t="shared" si="0"/>
        <v>123.22854</v>
      </c>
      <c r="D22" s="75">
        <v>18</v>
      </c>
      <c r="E22" s="125">
        <f t="shared" si="1"/>
        <v>36.362519999999996</v>
      </c>
      <c r="F22" s="125">
        <v>11</v>
      </c>
      <c r="G22" s="52">
        <f t="shared" si="2"/>
        <v>22.221539999999997</v>
      </c>
      <c r="H22" s="56">
        <v>25</v>
      </c>
      <c r="I22" s="52">
        <f>H22*20.62*174/1000</f>
        <v>89.697</v>
      </c>
      <c r="J22" s="54">
        <f t="shared" si="3"/>
        <v>271.5096</v>
      </c>
      <c r="K22" s="52">
        <f t="shared" si="4"/>
        <v>34.328799999999994</v>
      </c>
      <c r="L22" s="52">
        <f t="shared" si="5"/>
        <v>31.207999999999995</v>
      </c>
      <c r="M22" s="52">
        <f t="shared" si="6"/>
        <v>26.526799999999998</v>
      </c>
      <c r="N22" s="55">
        <f t="shared" si="7"/>
        <v>35.889199999999995</v>
      </c>
      <c r="O22" s="19">
        <f t="shared" si="8"/>
        <v>23.405999999999995</v>
      </c>
      <c r="P22" s="19">
        <f t="shared" si="9"/>
        <v>31.207999999999995</v>
      </c>
      <c r="Q22" s="18">
        <f t="shared" si="10"/>
        <v>24.966399999999997</v>
      </c>
      <c r="R22" s="89">
        <f t="shared" si="11"/>
        <v>32.76839999999999</v>
      </c>
      <c r="S22" s="19">
        <f t="shared" si="12"/>
        <v>31.207999999999995</v>
      </c>
      <c r="T22" s="26"/>
      <c r="U22" s="26"/>
    </row>
    <row r="23" spans="1:21" s="1" customFormat="1" ht="12.75">
      <c r="A23" s="50" t="s">
        <v>28</v>
      </c>
      <c r="B23" s="81">
        <v>42</v>
      </c>
      <c r="C23" s="55">
        <f t="shared" si="0"/>
        <v>84.84588000000001</v>
      </c>
      <c r="D23" s="75">
        <v>20</v>
      </c>
      <c r="E23" s="125">
        <f t="shared" si="1"/>
        <v>40.4028</v>
      </c>
      <c r="F23" s="125">
        <v>14</v>
      </c>
      <c r="G23" s="52">
        <f t="shared" si="2"/>
        <v>28.281959999999998</v>
      </c>
      <c r="H23" s="56"/>
      <c r="I23" s="52"/>
      <c r="J23" s="54">
        <f t="shared" si="3"/>
        <v>153.53064</v>
      </c>
      <c r="K23" s="52">
        <f t="shared" si="4"/>
        <v>19.411920000000002</v>
      </c>
      <c r="L23" s="52">
        <f t="shared" si="5"/>
        <v>17.6472</v>
      </c>
      <c r="M23" s="52">
        <f t="shared" si="6"/>
        <v>15.00012</v>
      </c>
      <c r="N23" s="55">
        <f t="shared" si="7"/>
        <v>20.29428</v>
      </c>
      <c r="O23" s="19">
        <f t="shared" si="8"/>
        <v>13.2354</v>
      </c>
      <c r="P23" s="19">
        <f t="shared" si="9"/>
        <v>17.6472</v>
      </c>
      <c r="Q23" s="18">
        <f t="shared" si="10"/>
        <v>14.11776</v>
      </c>
      <c r="R23" s="89">
        <f t="shared" si="11"/>
        <v>18.52956</v>
      </c>
      <c r="S23" s="19">
        <f t="shared" si="12"/>
        <v>17.6472</v>
      </c>
      <c r="T23" s="26"/>
      <c r="U23" s="26"/>
    </row>
    <row r="24" spans="1:21" s="1" customFormat="1" ht="12.75">
      <c r="A24" s="50" t="s">
        <v>29</v>
      </c>
      <c r="B24" s="81">
        <v>31</v>
      </c>
      <c r="C24" s="55">
        <f t="shared" si="0"/>
        <v>62.62434</v>
      </c>
      <c r="D24" s="75">
        <v>16</v>
      </c>
      <c r="E24" s="125">
        <f t="shared" si="1"/>
        <v>32.32224</v>
      </c>
      <c r="F24" s="125">
        <v>11</v>
      </c>
      <c r="G24" s="52">
        <f t="shared" si="2"/>
        <v>22.221539999999997</v>
      </c>
      <c r="H24" s="56"/>
      <c r="I24" s="52"/>
      <c r="J24" s="54">
        <f t="shared" si="3"/>
        <v>117.16811999999999</v>
      </c>
      <c r="K24" s="52">
        <f t="shared" si="4"/>
        <v>14.814359999999999</v>
      </c>
      <c r="L24" s="52">
        <f t="shared" si="5"/>
        <v>13.4676</v>
      </c>
      <c r="M24" s="52">
        <f t="shared" si="6"/>
        <v>11.44746</v>
      </c>
      <c r="N24" s="55">
        <f t="shared" si="7"/>
        <v>15.487739999999999</v>
      </c>
      <c r="O24" s="19">
        <f t="shared" si="8"/>
        <v>10.1007</v>
      </c>
      <c r="P24" s="19">
        <f t="shared" si="9"/>
        <v>13.4676</v>
      </c>
      <c r="Q24" s="18">
        <f t="shared" si="10"/>
        <v>10.77408</v>
      </c>
      <c r="R24" s="89">
        <f t="shared" si="11"/>
        <v>14.140979999999999</v>
      </c>
      <c r="S24" s="19">
        <f t="shared" si="12"/>
        <v>13.4676</v>
      </c>
      <c r="T24" s="26"/>
      <c r="U24" s="26"/>
    </row>
    <row r="25" spans="1:21" s="1" customFormat="1" ht="12.75">
      <c r="A25" s="50" t="s">
        <v>30</v>
      </c>
      <c r="B25" s="81">
        <v>16</v>
      </c>
      <c r="C25" s="55">
        <f t="shared" si="0"/>
        <v>32.32224</v>
      </c>
      <c r="D25" s="75">
        <v>3</v>
      </c>
      <c r="E25" s="125">
        <f t="shared" si="1"/>
        <v>6.06042</v>
      </c>
      <c r="F25" s="125">
        <v>1</v>
      </c>
      <c r="G25" s="52">
        <f t="shared" si="2"/>
        <v>2.02014</v>
      </c>
      <c r="H25" s="56"/>
      <c r="I25" s="52"/>
      <c r="J25" s="54">
        <f t="shared" si="3"/>
        <v>40.4028</v>
      </c>
      <c r="K25" s="52">
        <f t="shared" si="4"/>
        <v>5.1084</v>
      </c>
      <c r="L25" s="52">
        <f t="shared" si="5"/>
        <v>4.644</v>
      </c>
      <c r="M25" s="52">
        <f t="shared" si="6"/>
        <v>3.9474</v>
      </c>
      <c r="N25" s="55">
        <f t="shared" si="7"/>
        <v>5.340599999999999</v>
      </c>
      <c r="O25" s="19">
        <f t="shared" si="8"/>
        <v>3.4829999999999997</v>
      </c>
      <c r="P25" s="19">
        <f t="shared" si="9"/>
        <v>4.644</v>
      </c>
      <c r="Q25" s="18">
        <f t="shared" si="10"/>
        <v>3.7152</v>
      </c>
      <c r="R25" s="89">
        <f t="shared" si="11"/>
        <v>4.8762</v>
      </c>
      <c r="S25" s="19">
        <f t="shared" si="12"/>
        <v>4.644</v>
      </c>
      <c r="T25" s="26"/>
      <c r="U25" s="26"/>
    </row>
    <row r="26" spans="1:21" s="1" customFormat="1" ht="12.75">
      <c r="A26" s="50" t="s">
        <v>31</v>
      </c>
      <c r="B26" s="81">
        <v>12</v>
      </c>
      <c r="C26" s="55">
        <f t="shared" si="0"/>
        <v>24.24168</v>
      </c>
      <c r="D26" s="75">
        <v>2</v>
      </c>
      <c r="E26" s="125">
        <f t="shared" si="1"/>
        <v>4.04028</v>
      </c>
      <c r="F26" s="125">
        <v>2</v>
      </c>
      <c r="G26" s="52">
        <f t="shared" si="2"/>
        <v>4.04028</v>
      </c>
      <c r="H26" s="56"/>
      <c r="I26" s="52"/>
      <c r="J26" s="54">
        <f t="shared" si="3"/>
        <v>32.32224</v>
      </c>
      <c r="K26" s="52">
        <f t="shared" si="4"/>
        <v>4.086720000000001</v>
      </c>
      <c r="L26" s="52">
        <f t="shared" si="5"/>
        <v>3.7152000000000003</v>
      </c>
      <c r="M26" s="52">
        <f t="shared" si="6"/>
        <v>3.1579200000000003</v>
      </c>
      <c r="N26" s="55">
        <f t="shared" si="7"/>
        <v>4.27248</v>
      </c>
      <c r="O26" s="19">
        <f t="shared" si="8"/>
        <v>2.7864</v>
      </c>
      <c r="P26" s="19">
        <f t="shared" si="9"/>
        <v>3.7152000000000003</v>
      </c>
      <c r="Q26" s="18">
        <f t="shared" si="10"/>
        <v>2.97216</v>
      </c>
      <c r="R26" s="89">
        <f t="shared" si="11"/>
        <v>3.90096</v>
      </c>
      <c r="S26" s="19">
        <f t="shared" si="12"/>
        <v>3.7152000000000003</v>
      </c>
      <c r="T26" s="26"/>
      <c r="U26" s="26"/>
    </row>
    <row r="27" spans="1:21" s="1" customFormat="1" ht="12.75">
      <c r="A27" s="50" t="s">
        <v>32</v>
      </c>
      <c r="B27" s="81">
        <v>17</v>
      </c>
      <c r="C27" s="55">
        <f t="shared" si="0"/>
        <v>34.34238</v>
      </c>
      <c r="D27" s="75">
        <v>3</v>
      </c>
      <c r="E27" s="125">
        <f t="shared" si="1"/>
        <v>6.06042</v>
      </c>
      <c r="F27" s="125">
        <v>0</v>
      </c>
      <c r="G27" s="52">
        <f t="shared" si="2"/>
        <v>0</v>
      </c>
      <c r="H27" s="56"/>
      <c r="I27" s="52"/>
      <c r="J27" s="54">
        <f t="shared" si="3"/>
        <v>40.4028</v>
      </c>
      <c r="K27" s="52">
        <f t="shared" si="4"/>
        <v>5.1084</v>
      </c>
      <c r="L27" s="52">
        <f t="shared" si="5"/>
        <v>4.644</v>
      </c>
      <c r="M27" s="52">
        <f t="shared" si="6"/>
        <v>3.9474</v>
      </c>
      <c r="N27" s="55">
        <f t="shared" si="7"/>
        <v>5.340599999999999</v>
      </c>
      <c r="O27" s="19">
        <f t="shared" si="8"/>
        <v>3.4829999999999997</v>
      </c>
      <c r="P27" s="19">
        <f t="shared" si="9"/>
        <v>4.644</v>
      </c>
      <c r="Q27" s="18">
        <f t="shared" si="10"/>
        <v>3.7152</v>
      </c>
      <c r="R27" s="89">
        <f t="shared" si="11"/>
        <v>4.8762</v>
      </c>
      <c r="S27" s="19">
        <f t="shared" si="12"/>
        <v>4.644</v>
      </c>
      <c r="T27" s="26"/>
      <c r="U27" s="26"/>
    </row>
    <row r="28" spans="1:21" s="1" customFormat="1" ht="12.75">
      <c r="A28" s="50" t="s">
        <v>33</v>
      </c>
      <c r="B28" s="81">
        <v>19</v>
      </c>
      <c r="C28" s="55">
        <f t="shared" si="0"/>
        <v>38.382659999999994</v>
      </c>
      <c r="D28" s="75">
        <v>6</v>
      </c>
      <c r="E28" s="125">
        <f t="shared" si="1"/>
        <v>12.12084</v>
      </c>
      <c r="F28" s="125">
        <v>1</v>
      </c>
      <c r="G28" s="52">
        <f t="shared" si="2"/>
        <v>2.02014</v>
      </c>
      <c r="H28" s="56"/>
      <c r="I28" s="52"/>
      <c r="J28" s="54">
        <f t="shared" si="3"/>
        <v>52.52363999999999</v>
      </c>
      <c r="K28" s="52">
        <f t="shared" si="4"/>
        <v>6.6409199999999995</v>
      </c>
      <c r="L28" s="52">
        <f t="shared" si="5"/>
        <v>6.0371999999999995</v>
      </c>
      <c r="M28" s="52">
        <f t="shared" si="6"/>
        <v>5.131619999999999</v>
      </c>
      <c r="N28" s="55">
        <f t="shared" si="7"/>
        <v>6.942779999999999</v>
      </c>
      <c r="O28" s="19">
        <f t="shared" si="8"/>
        <v>4.5279</v>
      </c>
      <c r="P28" s="19">
        <f t="shared" si="9"/>
        <v>6.0371999999999995</v>
      </c>
      <c r="Q28" s="18">
        <f t="shared" si="10"/>
        <v>4.829759999999999</v>
      </c>
      <c r="R28" s="89">
        <f t="shared" si="11"/>
        <v>6.339059999999999</v>
      </c>
      <c r="S28" s="19">
        <f t="shared" si="12"/>
        <v>6.0371999999999995</v>
      </c>
      <c r="T28" s="26"/>
      <c r="U28" s="26"/>
    </row>
    <row r="29" spans="1:21" s="1" customFormat="1" ht="12.75">
      <c r="A29" s="50" t="s">
        <v>34</v>
      </c>
      <c r="B29" s="81">
        <v>15</v>
      </c>
      <c r="C29" s="55">
        <f t="shared" si="0"/>
        <v>30.302099999999996</v>
      </c>
      <c r="D29" s="75">
        <v>10</v>
      </c>
      <c r="E29" s="125">
        <f t="shared" si="1"/>
        <v>20.2014</v>
      </c>
      <c r="F29" s="125">
        <v>3</v>
      </c>
      <c r="G29" s="52">
        <f t="shared" si="2"/>
        <v>6.06042</v>
      </c>
      <c r="H29" s="56"/>
      <c r="I29" s="52"/>
      <c r="J29" s="54">
        <f t="shared" si="3"/>
        <v>56.563919999999996</v>
      </c>
      <c r="K29" s="52">
        <f t="shared" si="4"/>
        <v>7.1517599999999995</v>
      </c>
      <c r="L29" s="52">
        <f t="shared" si="5"/>
        <v>6.5016</v>
      </c>
      <c r="M29" s="52">
        <f t="shared" si="6"/>
        <v>5.5263599999999995</v>
      </c>
      <c r="N29" s="55">
        <f t="shared" si="7"/>
        <v>7.476839999999999</v>
      </c>
      <c r="O29" s="19">
        <f t="shared" si="8"/>
        <v>4.8762</v>
      </c>
      <c r="P29" s="19">
        <f t="shared" si="9"/>
        <v>6.5016</v>
      </c>
      <c r="Q29" s="18">
        <f t="shared" si="10"/>
        <v>5.20128</v>
      </c>
      <c r="R29" s="89">
        <f t="shared" si="11"/>
        <v>6.82668</v>
      </c>
      <c r="S29" s="19">
        <f t="shared" si="12"/>
        <v>6.5016</v>
      </c>
      <c r="T29" s="26"/>
      <c r="U29" s="26"/>
    </row>
    <row r="30" spans="1:21" s="1" customFormat="1" ht="12.75">
      <c r="A30" s="50" t="s">
        <v>35</v>
      </c>
      <c r="B30" s="81">
        <v>5</v>
      </c>
      <c r="C30" s="55">
        <f t="shared" si="0"/>
        <v>10.1007</v>
      </c>
      <c r="D30" s="75">
        <v>0</v>
      </c>
      <c r="E30" s="125">
        <f t="shared" si="1"/>
        <v>0</v>
      </c>
      <c r="F30" s="125">
        <v>1</v>
      </c>
      <c r="G30" s="52">
        <f t="shared" si="2"/>
        <v>2.02014</v>
      </c>
      <c r="H30" s="56"/>
      <c r="I30" s="52"/>
      <c r="J30" s="54">
        <f t="shared" si="3"/>
        <v>12.12084</v>
      </c>
      <c r="K30" s="52">
        <f t="shared" si="4"/>
        <v>1.5325199999999999</v>
      </c>
      <c r="L30" s="52">
        <f t="shared" si="5"/>
        <v>1.3932</v>
      </c>
      <c r="M30" s="52">
        <f t="shared" si="6"/>
        <v>1.18422</v>
      </c>
      <c r="N30" s="55">
        <f t="shared" si="7"/>
        <v>1.60218</v>
      </c>
      <c r="O30" s="19">
        <f t="shared" si="8"/>
        <v>1.0449</v>
      </c>
      <c r="P30" s="19">
        <f t="shared" si="9"/>
        <v>1.3932</v>
      </c>
      <c r="Q30" s="18">
        <f t="shared" si="10"/>
        <v>1.11456</v>
      </c>
      <c r="R30" s="89">
        <f t="shared" si="11"/>
        <v>1.46286</v>
      </c>
      <c r="S30" s="19">
        <f t="shared" si="12"/>
        <v>1.3932</v>
      </c>
      <c r="T30" s="26"/>
      <c r="U30" s="26"/>
    </row>
    <row r="31" spans="1:21" s="1" customFormat="1" ht="12.75">
      <c r="A31" s="50" t="s">
        <v>36</v>
      </c>
      <c r="B31" s="81">
        <v>14</v>
      </c>
      <c r="C31" s="55">
        <f t="shared" si="0"/>
        <v>28.281959999999998</v>
      </c>
      <c r="D31" s="75">
        <v>6</v>
      </c>
      <c r="E31" s="125">
        <f t="shared" si="1"/>
        <v>12.12084</v>
      </c>
      <c r="F31" s="125">
        <v>1</v>
      </c>
      <c r="G31" s="52">
        <f t="shared" si="2"/>
        <v>2.02014</v>
      </c>
      <c r="H31" s="56"/>
      <c r="I31" s="52"/>
      <c r="J31" s="54">
        <f t="shared" si="3"/>
        <v>42.42294</v>
      </c>
      <c r="K31" s="52">
        <f t="shared" si="4"/>
        <v>5.36382</v>
      </c>
      <c r="L31" s="52">
        <f t="shared" si="5"/>
        <v>4.876199999999999</v>
      </c>
      <c r="M31" s="52">
        <f t="shared" si="6"/>
        <v>4.144769999999999</v>
      </c>
      <c r="N31" s="55">
        <f t="shared" si="7"/>
        <v>5.6076299999999994</v>
      </c>
      <c r="O31" s="19">
        <f t="shared" si="8"/>
        <v>3.6571499999999997</v>
      </c>
      <c r="P31" s="19">
        <f t="shared" si="9"/>
        <v>4.876199999999999</v>
      </c>
      <c r="Q31" s="18">
        <f t="shared" si="10"/>
        <v>3.9009599999999995</v>
      </c>
      <c r="R31" s="89">
        <f t="shared" si="11"/>
        <v>5.12001</v>
      </c>
      <c r="S31" s="19">
        <f t="shared" si="12"/>
        <v>4.876199999999999</v>
      </c>
      <c r="T31" s="26"/>
      <c r="U31" s="26"/>
    </row>
    <row r="32" spans="1:21" s="1" customFormat="1" ht="12.75">
      <c r="A32" s="50" t="s">
        <v>37</v>
      </c>
      <c r="B32" s="81">
        <v>43</v>
      </c>
      <c r="C32" s="55">
        <f t="shared" si="0"/>
        <v>86.86601999999999</v>
      </c>
      <c r="D32" s="75">
        <v>24</v>
      </c>
      <c r="E32" s="125">
        <f t="shared" si="1"/>
        <v>48.48336</v>
      </c>
      <c r="F32" s="125">
        <v>3</v>
      </c>
      <c r="G32" s="52">
        <f t="shared" si="2"/>
        <v>6.06042</v>
      </c>
      <c r="H32" s="56"/>
      <c r="I32" s="52"/>
      <c r="J32" s="54">
        <f t="shared" si="3"/>
        <v>141.4098</v>
      </c>
      <c r="K32" s="52">
        <f t="shared" si="4"/>
        <v>17.8794</v>
      </c>
      <c r="L32" s="52">
        <f t="shared" si="5"/>
        <v>16.253999999999998</v>
      </c>
      <c r="M32" s="52">
        <f t="shared" si="6"/>
        <v>13.8159</v>
      </c>
      <c r="N32" s="55">
        <f t="shared" si="7"/>
        <v>18.6921</v>
      </c>
      <c r="O32" s="19">
        <f t="shared" si="8"/>
        <v>12.1905</v>
      </c>
      <c r="P32" s="19">
        <f t="shared" si="9"/>
        <v>16.253999999999998</v>
      </c>
      <c r="Q32" s="18">
        <f t="shared" si="10"/>
        <v>13.0032</v>
      </c>
      <c r="R32" s="89">
        <f t="shared" si="11"/>
        <v>17.0667</v>
      </c>
      <c r="S32" s="19">
        <f t="shared" si="12"/>
        <v>16.253999999999998</v>
      </c>
      <c r="T32" s="26"/>
      <c r="U32" s="26"/>
    </row>
    <row r="33" spans="1:21" s="1" customFormat="1" ht="12.75">
      <c r="A33" s="50" t="s">
        <v>38</v>
      </c>
      <c r="B33" s="81">
        <v>28</v>
      </c>
      <c r="C33" s="55">
        <f t="shared" si="0"/>
        <v>56.563919999999996</v>
      </c>
      <c r="D33" s="75">
        <v>5</v>
      </c>
      <c r="E33" s="125">
        <f t="shared" si="1"/>
        <v>10.1007</v>
      </c>
      <c r="F33" s="125">
        <v>1</v>
      </c>
      <c r="G33" s="52">
        <f t="shared" si="2"/>
        <v>2.02014</v>
      </c>
      <c r="H33" s="56"/>
      <c r="I33" s="52"/>
      <c r="J33" s="54">
        <f t="shared" si="3"/>
        <v>68.68476</v>
      </c>
      <c r="K33" s="52">
        <f t="shared" si="4"/>
        <v>8.68428</v>
      </c>
      <c r="L33" s="52">
        <f t="shared" si="5"/>
        <v>7.8948</v>
      </c>
      <c r="M33" s="52">
        <f t="shared" si="6"/>
        <v>6.710579999999999</v>
      </c>
      <c r="N33" s="55">
        <f t="shared" si="7"/>
        <v>9.07902</v>
      </c>
      <c r="O33" s="19">
        <f t="shared" si="8"/>
        <v>5.9211</v>
      </c>
      <c r="P33" s="19">
        <f t="shared" si="9"/>
        <v>7.8948</v>
      </c>
      <c r="Q33" s="18">
        <f t="shared" si="10"/>
        <v>6.31584</v>
      </c>
      <c r="R33" s="89">
        <f t="shared" si="11"/>
        <v>8.289539999999999</v>
      </c>
      <c r="S33" s="19">
        <f t="shared" si="12"/>
        <v>7.8948</v>
      </c>
      <c r="T33" s="26"/>
      <c r="U33" s="26"/>
    </row>
    <row r="34" spans="1:21" s="1" customFormat="1" ht="12.75">
      <c r="A34" s="50" t="s">
        <v>39</v>
      </c>
      <c r="B34" s="81">
        <v>13</v>
      </c>
      <c r="C34" s="55">
        <f t="shared" si="0"/>
        <v>26.26182</v>
      </c>
      <c r="D34" s="75">
        <v>0</v>
      </c>
      <c r="E34" s="125">
        <f t="shared" si="1"/>
        <v>0</v>
      </c>
      <c r="F34" s="125">
        <v>0</v>
      </c>
      <c r="G34" s="52">
        <f t="shared" si="2"/>
        <v>0</v>
      </c>
      <c r="H34" s="56"/>
      <c r="I34" s="52"/>
      <c r="J34" s="54">
        <f t="shared" si="3"/>
        <v>26.26182</v>
      </c>
      <c r="K34" s="52">
        <f t="shared" si="4"/>
        <v>3.32046</v>
      </c>
      <c r="L34" s="52">
        <f t="shared" si="5"/>
        <v>3.0186</v>
      </c>
      <c r="M34" s="52">
        <f t="shared" si="6"/>
        <v>2.56581</v>
      </c>
      <c r="N34" s="55">
        <f t="shared" si="7"/>
        <v>3.4713900000000004</v>
      </c>
      <c r="O34" s="19">
        <f t="shared" si="8"/>
        <v>2.2639500000000004</v>
      </c>
      <c r="P34" s="19">
        <f t="shared" si="9"/>
        <v>3.0186</v>
      </c>
      <c r="Q34" s="18">
        <f t="shared" si="10"/>
        <v>2.41488</v>
      </c>
      <c r="R34" s="89">
        <f t="shared" si="11"/>
        <v>3.16953</v>
      </c>
      <c r="S34" s="19">
        <f t="shared" si="12"/>
        <v>3.0186</v>
      </c>
      <c r="T34" s="26"/>
      <c r="U34" s="26"/>
    </row>
    <row r="35" spans="1:21" s="1" customFormat="1" ht="12.75">
      <c r="A35" s="50" t="s">
        <v>40</v>
      </c>
      <c r="B35" s="81">
        <v>7</v>
      </c>
      <c r="C35" s="55">
        <f t="shared" si="0"/>
        <v>14.140979999999999</v>
      </c>
      <c r="D35" s="75">
        <v>3</v>
      </c>
      <c r="E35" s="125">
        <f t="shared" si="1"/>
        <v>6.06042</v>
      </c>
      <c r="F35" s="125">
        <v>2</v>
      </c>
      <c r="G35" s="52">
        <f t="shared" si="2"/>
        <v>4.04028</v>
      </c>
      <c r="H35" s="56"/>
      <c r="I35" s="52"/>
      <c r="J35" s="54">
        <f t="shared" si="3"/>
        <v>24.24168</v>
      </c>
      <c r="K35" s="52">
        <f t="shared" si="4"/>
        <v>3.0650399999999998</v>
      </c>
      <c r="L35" s="52">
        <f t="shared" si="5"/>
        <v>2.7864</v>
      </c>
      <c r="M35" s="52">
        <f t="shared" si="6"/>
        <v>2.36844</v>
      </c>
      <c r="N35" s="55">
        <f t="shared" si="7"/>
        <v>3.20436</v>
      </c>
      <c r="O35" s="19">
        <f t="shared" si="8"/>
        <v>2.0898</v>
      </c>
      <c r="P35" s="19">
        <f t="shared" si="9"/>
        <v>2.7864</v>
      </c>
      <c r="Q35" s="18">
        <f t="shared" si="10"/>
        <v>2.22912</v>
      </c>
      <c r="R35" s="89">
        <f t="shared" si="11"/>
        <v>2.92572</v>
      </c>
      <c r="S35" s="19">
        <f t="shared" si="12"/>
        <v>2.7864</v>
      </c>
      <c r="T35" s="26"/>
      <c r="U35" s="26"/>
    </row>
    <row r="36" spans="1:21" s="1" customFormat="1" ht="12.75">
      <c r="A36" s="50" t="s">
        <v>41</v>
      </c>
      <c r="B36" s="81">
        <v>3</v>
      </c>
      <c r="C36" s="55">
        <f t="shared" si="0"/>
        <v>6.06042</v>
      </c>
      <c r="D36" s="75">
        <v>0</v>
      </c>
      <c r="E36" s="125">
        <f t="shared" si="1"/>
        <v>0</v>
      </c>
      <c r="F36" s="125">
        <v>0</v>
      </c>
      <c r="G36" s="52">
        <f t="shared" si="2"/>
        <v>0</v>
      </c>
      <c r="H36" s="56"/>
      <c r="I36" s="54"/>
      <c r="J36" s="54">
        <f t="shared" si="3"/>
        <v>6.06042</v>
      </c>
      <c r="K36" s="52">
        <f t="shared" si="4"/>
        <v>0.7662599999999999</v>
      </c>
      <c r="L36" s="52">
        <f t="shared" si="5"/>
        <v>0.6966</v>
      </c>
      <c r="M36" s="52">
        <f t="shared" si="6"/>
        <v>0.59211</v>
      </c>
      <c r="N36" s="55">
        <f t="shared" si="7"/>
        <v>0.80109</v>
      </c>
      <c r="O36" s="19">
        <f t="shared" si="8"/>
        <v>0.52245</v>
      </c>
      <c r="P36" s="19">
        <f t="shared" si="9"/>
        <v>0.6966</v>
      </c>
      <c r="Q36" s="18">
        <f t="shared" si="10"/>
        <v>0.55728</v>
      </c>
      <c r="R36" s="89">
        <f t="shared" si="11"/>
        <v>0.73143</v>
      </c>
      <c r="S36" s="19">
        <f t="shared" si="12"/>
        <v>0.6966</v>
      </c>
      <c r="T36" s="26"/>
      <c r="U36" s="26"/>
    </row>
    <row r="37" spans="1:21" s="1" customFormat="1" ht="12.75">
      <c r="A37" s="50" t="s">
        <v>42</v>
      </c>
      <c r="B37" s="81">
        <v>4</v>
      </c>
      <c r="C37" s="55">
        <f t="shared" si="0"/>
        <v>8.08056</v>
      </c>
      <c r="D37" s="75">
        <v>0</v>
      </c>
      <c r="E37" s="125">
        <f t="shared" si="1"/>
        <v>0</v>
      </c>
      <c r="F37" s="125">
        <v>0</v>
      </c>
      <c r="G37" s="52">
        <f t="shared" si="2"/>
        <v>0</v>
      </c>
      <c r="H37" s="56"/>
      <c r="I37" s="54"/>
      <c r="J37" s="54">
        <f t="shared" si="3"/>
        <v>8.08056</v>
      </c>
      <c r="K37" s="52">
        <f t="shared" si="4"/>
        <v>1.0216800000000001</v>
      </c>
      <c r="L37" s="52">
        <f t="shared" si="5"/>
        <v>0.9288000000000001</v>
      </c>
      <c r="M37" s="52">
        <f t="shared" si="6"/>
        <v>0.7894800000000001</v>
      </c>
      <c r="N37" s="55">
        <f t="shared" si="7"/>
        <v>1.06812</v>
      </c>
      <c r="O37" s="19">
        <f t="shared" si="8"/>
        <v>0.6966</v>
      </c>
      <c r="P37" s="19">
        <f t="shared" si="9"/>
        <v>0.9288000000000001</v>
      </c>
      <c r="Q37" s="18">
        <f t="shared" si="10"/>
        <v>0.74304</v>
      </c>
      <c r="R37" s="89">
        <f t="shared" si="11"/>
        <v>0.97524</v>
      </c>
      <c r="S37" s="19">
        <f t="shared" si="12"/>
        <v>0.9288000000000001</v>
      </c>
      <c r="T37" s="26"/>
      <c r="U37" s="26"/>
    </row>
    <row r="38" spans="1:21" s="1" customFormat="1" ht="12.75">
      <c r="A38" s="59" t="s">
        <v>43</v>
      </c>
      <c r="B38" s="79">
        <f aca="true" t="shared" si="13" ref="B38:S38">SUM(B16:B37)</f>
        <v>830</v>
      </c>
      <c r="C38" s="60">
        <f t="shared" si="13"/>
        <v>1676.7162</v>
      </c>
      <c r="D38" s="79">
        <f t="shared" si="13"/>
        <v>214</v>
      </c>
      <c r="E38" s="130">
        <f>SUM(E16:E37)</f>
        <v>432.30996000000005</v>
      </c>
      <c r="F38" s="79">
        <f>SUM(F16:F37)</f>
        <v>207</v>
      </c>
      <c r="G38" s="83">
        <f>SUM(G16:G37)</f>
        <v>418.1689800000002</v>
      </c>
      <c r="H38" s="61">
        <f t="shared" si="13"/>
        <v>75</v>
      </c>
      <c r="I38" s="63">
        <f t="shared" si="13"/>
        <v>269.091</v>
      </c>
      <c r="J38" s="63">
        <f t="shared" si="13"/>
        <v>2796.2861399999992</v>
      </c>
      <c r="K38" s="63">
        <f t="shared" si="13"/>
        <v>353.55342</v>
      </c>
      <c r="L38" s="63">
        <f t="shared" si="13"/>
        <v>321.4121999999999</v>
      </c>
      <c r="M38" s="63">
        <f t="shared" si="13"/>
        <v>273.20037</v>
      </c>
      <c r="N38" s="63">
        <f t="shared" si="13"/>
        <v>369.62402999999983</v>
      </c>
      <c r="O38" s="63">
        <f t="shared" si="13"/>
        <v>241.05914999999996</v>
      </c>
      <c r="P38" s="63">
        <f t="shared" si="13"/>
        <v>321.4121999999999</v>
      </c>
      <c r="Q38" s="63">
        <f t="shared" si="13"/>
        <v>257.12976000000003</v>
      </c>
      <c r="R38" s="88">
        <f t="shared" si="13"/>
        <v>337.4828099999999</v>
      </c>
      <c r="S38" s="68">
        <f t="shared" si="13"/>
        <v>321.4121999999999</v>
      </c>
      <c r="T38" s="26"/>
      <c r="U38" s="26"/>
    </row>
    <row r="39" spans="1:21" s="1" customFormat="1" ht="12.75">
      <c r="A39" s="65"/>
      <c r="B39" s="82"/>
      <c r="C39" s="68"/>
      <c r="D39" s="67"/>
      <c r="E39" s="68"/>
      <c r="F39" s="68"/>
      <c r="G39" s="68"/>
      <c r="H39" s="69"/>
      <c r="I39" s="68"/>
      <c r="J39" s="68"/>
      <c r="K39" s="84"/>
      <c r="L39" s="84"/>
      <c r="M39" s="84"/>
      <c r="N39" s="19"/>
      <c r="O39" s="84"/>
      <c r="P39" s="84"/>
      <c r="Q39" s="84"/>
      <c r="R39" s="90"/>
      <c r="S39" s="84"/>
      <c r="T39" s="13"/>
      <c r="U39" s="26"/>
    </row>
    <row r="40" spans="1:21" s="1" customFormat="1" ht="12.75">
      <c r="A40" t="s">
        <v>72</v>
      </c>
      <c r="B40"/>
      <c r="C40"/>
      <c r="D40"/>
      <c r="E40" t="s">
        <v>44</v>
      </c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 s="26"/>
      <c r="U40" s="26"/>
    </row>
    <row r="41" spans="1:21" s="1" customFormat="1" ht="12.75">
      <c r="A41" t="s">
        <v>85</v>
      </c>
      <c r="B41"/>
      <c r="C41"/>
      <c r="D41"/>
      <c r="E41" t="s">
        <v>87</v>
      </c>
      <c r="F41"/>
      <c r="G41"/>
      <c r="H41"/>
      <c r="I41" t="s">
        <v>109</v>
      </c>
      <c r="J41"/>
      <c r="K41"/>
      <c r="L41"/>
      <c r="M41"/>
      <c r="N41"/>
      <c r="O41"/>
      <c r="P41"/>
      <c r="Q41"/>
      <c r="R41"/>
      <c r="S41"/>
      <c r="T41" s="24"/>
      <c r="U41" s="24"/>
    </row>
    <row r="42" spans="1:5" ht="12.75">
      <c r="A42" t="s">
        <v>86</v>
      </c>
      <c r="E42" t="s">
        <v>88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">
      <selection activeCell="K36" sqref="K36"/>
    </sheetView>
  </sheetViews>
  <sheetFormatPr defaultColWidth="9.140625" defaultRowHeight="12.75"/>
  <cols>
    <col min="1" max="1" width="28.421875" style="0" customWidth="1"/>
    <col min="2" max="2" width="6.421875" style="0" customWidth="1"/>
    <col min="3" max="3" width="8.57421875" style="0" customWidth="1"/>
    <col min="4" max="4" width="7.7109375" style="0" customWidth="1"/>
    <col min="5" max="5" width="8.8515625" style="0" customWidth="1"/>
    <col min="6" max="6" width="7.140625" style="0" customWidth="1"/>
    <col min="7" max="7" width="8.57421875" style="0" customWidth="1"/>
    <col min="8" max="8" width="5.57421875" style="0" customWidth="1"/>
    <col min="9" max="9" width="8.57421875" style="0" customWidth="1"/>
    <col min="10" max="10" width="7.28125" style="0" customWidth="1"/>
    <col min="11" max="12" width="6.57421875" style="0" customWidth="1"/>
    <col min="13" max="13" width="7.00390625" style="0" customWidth="1"/>
    <col min="14" max="14" width="6.8515625" style="0" customWidth="1"/>
    <col min="15" max="15" width="6.7109375" style="0" customWidth="1"/>
    <col min="16" max="16" width="7.140625" style="0" customWidth="1"/>
    <col min="17" max="17" width="6.57421875" style="0" customWidth="1"/>
    <col min="18" max="18" width="7.57421875" style="0" customWidth="1"/>
    <col min="19" max="19" width="6.7109375" style="0" customWidth="1"/>
  </cols>
  <sheetData>
    <row r="1" spans="8:14" ht="12.75">
      <c r="H1" s="1"/>
      <c r="N1" t="s">
        <v>62</v>
      </c>
    </row>
    <row r="2" spans="4:14" ht="12.75">
      <c r="D2" s="1"/>
      <c r="E2" s="1"/>
      <c r="F2" s="1"/>
      <c r="G2" s="1"/>
      <c r="H2" s="1"/>
      <c r="N2" t="s">
        <v>63</v>
      </c>
    </row>
    <row r="3" ht="12.75">
      <c r="N3" t="s">
        <v>64</v>
      </c>
    </row>
    <row r="4" spans="1:21" s="1" customFormat="1" ht="12.75">
      <c r="A4" s="3"/>
      <c r="B4" s="22"/>
      <c r="C4"/>
      <c r="D4"/>
      <c r="E4"/>
      <c r="F4"/>
      <c r="G4"/>
      <c r="H4"/>
      <c r="I4"/>
      <c r="J4"/>
      <c r="K4"/>
      <c r="L4"/>
      <c r="M4"/>
      <c r="N4" t="s">
        <v>65</v>
      </c>
      <c r="T4" s="26"/>
      <c r="U4" s="26"/>
    </row>
    <row r="5" spans="2:20" ht="12.75">
      <c r="B5" t="s">
        <v>66</v>
      </c>
      <c r="K5" s="1"/>
      <c r="L5" s="1"/>
      <c r="M5" s="1"/>
      <c r="N5" s="1"/>
      <c r="T5" s="1"/>
    </row>
    <row r="6" spans="1:20" ht="12.75">
      <c r="A6" t="s">
        <v>107</v>
      </c>
      <c r="K6" s="1"/>
      <c r="L6" s="1"/>
      <c r="M6" s="1"/>
      <c r="N6" s="1"/>
      <c r="T6" s="1"/>
    </row>
    <row r="7" spans="2:20" ht="12.75">
      <c r="B7" s="135" t="s">
        <v>114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1:20" ht="12.75">
      <c r="K8" s="1"/>
      <c r="L8" s="1"/>
      <c r="M8" s="1"/>
      <c r="N8" s="1"/>
      <c r="O8" s="1"/>
      <c r="P8" s="1"/>
      <c r="Q8" s="1"/>
      <c r="R8" s="1"/>
      <c r="S8" s="1"/>
      <c r="T8" s="1"/>
    </row>
    <row r="9" spans="1:21" ht="12.75">
      <c r="A9" s="29"/>
      <c r="B9" s="30" t="s">
        <v>0</v>
      </c>
      <c r="C9" s="14" t="s">
        <v>2</v>
      </c>
      <c r="D9" s="73" t="s">
        <v>0</v>
      </c>
      <c r="E9" s="131" t="s">
        <v>99</v>
      </c>
      <c r="F9" s="126" t="s">
        <v>0</v>
      </c>
      <c r="G9" s="14" t="s">
        <v>2</v>
      </c>
      <c r="H9" s="32" t="s">
        <v>0</v>
      </c>
      <c r="I9" s="4" t="s">
        <v>2</v>
      </c>
      <c r="J9" s="4"/>
      <c r="K9" s="64">
        <v>2011</v>
      </c>
      <c r="L9" s="64">
        <v>2011</v>
      </c>
      <c r="M9" s="64">
        <v>2011</v>
      </c>
      <c r="N9" s="64">
        <v>2011</v>
      </c>
      <c r="O9" s="64">
        <v>2012</v>
      </c>
      <c r="P9" s="64">
        <v>2012</v>
      </c>
      <c r="Q9" s="64">
        <v>2012</v>
      </c>
      <c r="R9" s="64">
        <v>2012</v>
      </c>
      <c r="S9" s="64">
        <v>2012</v>
      </c>
      <c r="T9" s="27"/>
      <c r="U9" s="5"/>
    </row>
    <row r="10" spans="1:21" ht="12.75">
      <c r="A10" s="34"/>
      <c r="B10" s="35" t="s">
        <v>4</v>
      </c>
      <c r="C10" s="6" t="s">
        <v>122</v>
      </c>
      <c r="D10" s="21" t="s">
        <v>57</v>
      </c>
      <c r="E10" s="6" t="s">
        <v>122</v>
      </c>
      <c r="F10" s="128" t="s">
        <v>91</v>
      </c>
      <c r="G10" s="6" t="s">
        <v>122</v>
      </c>
      <c r="H10" s="20" t="s">
        <v>4</v>
      </c>
      <c r="I10" s="6" t="s">
        <v>122</v>
      </c>
      <c r="J10" s="6" t="s">
        <v>5</v>
      </c>
      <c r="K10" s="20" t="s">
        <v>6</v>
      </c>
      <c r="L10" s="20" t="s">
        <v>7</v>
      </c>
      <c r="M10" s="20" t="s">
        <v>52</v>
      </c>
      <c r="N10" s="37" t="s">
        <v>8</v>
      </c>
      <c r="O10" s="17" t="s">
        <v>45</v>
      </c>
      <c r="P10" s="17" t="s">
        <v>54</v>
      </c>
      <c r="Q10" s="17" t="s">
        <v>46</v>
      </c>
      <c r="R10" s="17" t="s">
        <v>47</v>
      </c>
      <c r="S10" s="21" t="s">
        <v>48</v>
      </c>
      <c r="T10" s="1"/>
      <c r="U10" s="5"/>
    </row>
    <row r="11" spans="1:21" ht="12.75">
      <c r="A11" s="34" t="s">
        <v>9</v>
      </c>
      <c r="B11" s="35" t="s">
        <v>10</v>
      </c>
      <c r="C11" s="134" t="s">
        <v>103</v>
      </c>
      <c r="D11" s="21" t="s">
        <v>58</v>
      </c>
      <c r="E11" s="36" t="s">
        <v>103</v>
      </c>
      <c r="F11" s="128" t="s">
        <v>92</v>
      </c>
      <c r="G11" s="133" t="s">
        <v>95</v>
      </c>
      <c r="H11" s="20" t="s">
        <v>12</v>
      </c>
      <c r="I11" s="2" t="s">
        <v>105</v>
      </c>
      <c r="J11" s="42">
        <v>40787</v>
      </c>
      <c r="K11" s="20" t="s">
        <v>15</v>
      </c>
      <c r="L11" s="20" t="s">
        <v>15</v>
      </c>
      <c r="M11" s="37" t="s">
        <v>15</v>
      </c>
      <c r="N11" s="37" t="s">
        <v>15</v>
      </c>
      <c r="O11" s="17" t="s">
        <v>56</v>
      </c>
      <c r="P11" s="17" t="s">
        <v>55</v>
      </c>
      <c r="Q11" s="17"/>
      <c r="R11" s="17" t="s">
        <v>53</v>
      </c>
      <c r="S11" s="17"/>
      <c r="T11" s="1"/>
      <c r="U11" s="1"/>
    </row>
    <row r="12" spans="1:21" ht="12.75">
      <c r="A12" s="34"/>
      <c r="B12" s="35" t="s">
        <v>16</v>
      </c>
      <c r="C12" s="133" t="s">
        <v>96</v>
      </c>
      <c r="D12" s="85"/>
      <c r="E12" s="132" t="s">
        <v>96</v>
      </c>
      <c r="F12" s="129" t="s">
        <v>93</v>
      </c>
      <c r="G12" s="133" t="s">
        <v>96</v>
      </c>
      <c r="H12" s="44"/>
      <c r="I12" s="6" t="s">
        <v>96</v>
      </c>
      <c r="J12" s="42">
        <v>41030</v>
      </c>
      <c r="K12" s="7"/>
      <c r="L12" s="7"/>
      <c r="M12" s="7"/>
      <c r="N12" s="15"/>
      <c r="O12" s="17"/>
      <c r="P12" s="17"/>
      <c r="Q12" s="17"/>
      <c r="R12" s="21"/>
      <c r="S12" s="17"/>
      <c r="T12" s="27"/>
      <c r="U12" s="1"/>
    </row>
    <row r="13" spans="2:21" ht="12.75">
      <c r="B13" s="20">
        <v>2011</v>
      </c>
      <c r="C13" s="15" t="s">
        <v>4</v>
      </c>
      <c r="D13" s="21" t="s">
        <v>59</v>
      </c>
      <c r="E13" s="86" t="s">
        <v>89</v>
      </c>
      <c r="F13" s="128" t="s">
        <v>94</v>
      </c>
      <c r="G13" s="85" t="s">
        <v>92</v>
      </c>
      <c r="H13" s="20"/>
      <c r="I13" s="7" t="s">
        <v>4</v>
      </c>
      <c r="J13" s="6">
        <f>SUM(K13:S13)</f>
        <v>172</v>
      </c>
      <c r="K13" s="20">
        <v>22</v>
      </c>
      <c r="L13" s="20">
        <v>21</v>
      </c>
      <c r="M13" s="20">
        <v>16</v>
      </c>
      <c r="N13" s="37">
        <v>21</v>
      </c>
      <c r="O13" s="21">
        <v>15</v>
      </c>
      <c r="P13" s="143">
        <v>20</v>
      </c>
      <c r="Q13" s="143">
        <v>15</v>
      </c>
      <c r="R13" s="143">
        <v>21</v>
      </c>
      <c r="S13" s="144">
        <v>21</v>
      </c>
      <c r="T13" s="27">
        <f>SUM(K13:S13)</f>
        <v>172</v>
      </c>
      <c r="U13" s="5"/>
    </row>
    <row r="14" spans="2:21" ht="12.75">
      <c r="B14" s="40" t="s">
        <v>119</v>
      </c>
      <c r="C14" s="15" t="s">
        <v>102</v>
      </c>
      <c r="D14" s="45" t="s">
        <v>60</v>
      </c>
      <c r="E14" s="85" t="s">
        <v>90</v>
      </c>
      <c r="F14" s="86"/>
      <c r="G14" s="86" t="s">
        <v>97</v>
      </c>
      <c r="H14" s="20"/>
      <c r="I14" s="6" t="s">
        <v>106</v>
      </c>
      <c r="J14" s="6" t="s">
        <v>121</v>
      </c>
      <c r="K14" s="20" t="s">
        <v>49</v>
      </c>
      <c r="L14" s="20" t="s">
        <v>49</v>
      </c>
      <c r="M14" s="20" t="s">
        <v>49</v>
      </c>
      <c r="N14" s="20" t="s">
        <v>49</v>
      </c>
      <c r="O14" s="20" t="s">
        <v>49</v>
      </c>
      <c r="P14" s="20" t="s">
        <v>49</v>
      </c>
      <c r="Q14" s="20" t="s">
        <v>49</v>
      </c>
      <c r="R14" s="20" t="s">
        <v>49</v>
      </c>
      <c r="S14" s="20" t="s">
        <v>49</v>
      </c>
      <c r="T14" s="27"/>
      <c r="U14" s="5"/>
    </row>
    <row r="15" spans="1:21" ht="12.75">
      <c r="A15" s="34"/>
      <c r="B15" s="47" t="s">
        <v>120</v>
      </c>
      <c r="C15" s="133" t="s">
        <v>100</v>
      </c>
      <c r="D15" s="21" t="s">
        <v>61</v>
      </c>
      <c r="E15" s="85" t="s">
        <v>100</v>
      </c>
      <c r="F15" s="85"/>
      <c r="G15" s="85" t="s">
        <v>98</v>
      </c>
      <c r="H15" s="39"/>
      <c r="I15" s="6" t="s">
        <v>100</v>
      </c>
      <c r="J15" s="9" t="s">
        <v>100</v>
      </c>
      <c r="K15" s="9"/>
      <c r="L15" s="9"/>
      <c r="M15" s="9"/>
      <c r="N15" s="16"/>
      <c r="O15" s="48"/>
      <c r="P15" s="48"/>
      <c r="Q15" s="48"/>
      <c r="R15" s="49"/>
      <c r="S15" s="49"/>
      <c r="T15" s="1"/>
      <c r="U15" s="3"/>
    </row>
    <row r="16" spans="1:21" ht="12.75">
      <c r="A16" s="50" t="s">
        <v>21</v>
      </c>
      <c r="B16" s="145">
        <v>71</v>
      </c>
      <c r="C16" s="146">
        <f>B16*11.61*172/1000</f>
        <v>141.78131999999997</v>
      </c>
      <c r="D16" s="147">
        <v>14</v>
      </c>
      <c r="E16" s="148">
        <f>D16*11.61*172/1000</f>
        <v>27.956879999999998</v>
      </c>
      <c r="F16" s="149">
        <v>16</v>
      </c>
      <c r="G16" s="52">
        <f>F16*11.61*172/1000</f>
        <v>31.950719999999997</v>
      </c>
      <c r="H16" s="50"/>
      <c r="I16" s="54"/>
      <c r="J16" s="54">
        <f>C16+E16+G16+I16</f>
        <v>201.68891999999994</v>
      </c>
      <c r="K16" s="52">
        <f>J16/172*22</f>
        <v>25.797419999999995</v>
      </c>
      <c r="L16" s="52">
        <f>J16/172*21</f>
        <v>24.624809999999993</v>
      </c>
      <c r="M16" s="52">
        <f>J16/172*16</f>
        <v>18.761759999999995</v>
      </c>
      <c r="N16" s="55">
        <f>J16/172*21</f>
        <v>24.624809999999993</v>
      </c>
      <c r="O16" s="19">
        <f>J16/172*15</f>
        <v>17.589149999999997</v>
      </c>
      <c r="P16" s="19">
        <f>J16/172*20</f>
        <v>23.452199999999994</v>
      </c>
      <c r="Q16" s="19">
        <f>J16/172*15</f>
        <v>17.589149999999997</v>
      </c>
      <c r="R16" s="89">
        <f>J16/172*21</f>
        <v>24.624809999999993</v>
      </c>
      <c r="S16" s="19">
        <f>J16/172*21</f>
        <v>24.624809999999993</v>
      </c>
      <c r="T16" s="26"/>
      <c r="U16" s="26"/>
    </row>
    <row r="17" spans="1:21" ht="12.75">
      <c r="A17" s="39" t="s">
        <v>22</v>
      </c>
      <c r="B17" s="150">
        <v>46</v>
      </c>
      <c r="C17" s="146">
        <f aca="true" t="shared" si="0" ref="C17:C35">B17*11.61*172/1000</f>
        <v>91.85831999999999</v>
      </c>
      <c r="D17" s="151">
        <v>13</v>
      </c>
      <c r="E17" s="148">
        <f aca="true" t="shared" si="1" ref="E17:E35">D17*11.61*172/1000</f>
        <v>25.959960000000002</v>
      </c>
      <c r="F17" s="149">
        <v>12</v>
      </c>
      <c r="G17" s="52">
        <f aca="true" t="shared" si="2" ref="G17:G35">F17*11.61*172/1000</f>
        <v>23.963039999999996</v>
      </c>
      <c r="H17" s="39"/>
      <c r="I17" s="54"/>
      <c r="J17" s="54">
        <f aca="true" t="shared" si="3" ref="J17:J35">C17+E17+G17+I17</f>
        <v>141.78132</v>
      </c>
      <c r="K17" s="52">
        <f aca="true" t="shared" si="4" ref="K17:K35">J17/172*22</f>
        <v>18.13482</v>
      </c>
      <c r="L17" s="52">
        <f aca="true" t="shared" si="5" ref="L17:L35">J17/172*21</f>
        <v>17.31051</v>
      </c>
      <c r="M17" s="52">
        <f aca="true" t="shared" si="6" ref="M17:M35">J17/172*16</f>
        <v>13.18896</v>
      </c>
      <c r="N17" s="55">
        <f aca="true" t="shared" si="7" ref="N17:N35">J17/172*21</f>
        <v>17.31051</v>
      </c>
      <c r="O17" s="19">
        <f aca="true" t="shared" si="8" ref="O17:O35">J17/172*15</f>
        <v>12.36465</v>
      </c>
      <c r="P17" s="19">
        <f aca="true" t="shared" si="9" ref="P17:P35">J17/172*20</f>
        <v>16.4862</v>
      </c>
      <c r="Q17" s="19">
        <f aca="true" t="shared" si="10" ref="Q17:Q35">J17/172*15</f>
        <v>12.36465</v>
      </c>
      <c r="R17" s="89">
        <f aca="true" t="shared" si="11" ref="R17:R35">J17/172*21</f>
        <v>17.31051</v>
      </c>
      <c r="S17" s="19">
        <f aca="true" t="shared" si="12" ref="S17:S35">J17/172*21</f>
        <v>17.31051</v>
      </c>
      <c r="T17" s="26"/>
      <c r="U17" s="26"/>
    </row>
    <row r="18" spans="1:21" s="1" customFormat="1" ht="12.75">
      <c r="A18" s="50" t="s">
        <v>23</v>
      </c>
      <c r="B18" s="145">
        <v>56</v>
      </c>
      <c r="C18" s="146">
        <f t="shared" si="0"/>
        <v>111.82751999999999</v>
      </c>
      <c r="D18" s="152">
        <v>6</v>
      </c>
      <c r="E18" s="148">
        <f t="shared" si="1"/>
        <v>11.981519999999998</v>
      </c>
      <c r="F18" s="149">
        <v>6</v>
      </c>
      <c r="G18" s="52">
        <f t="shared" si="2"/>
        <v>11.981519999999998</v>
      </c>
      <c r="H18" s="33"/>
      <c r="I18" s="54"/>
      <c r="J18" s="54">
        <f t="shared" si="3"/>
        <v>135.79056</v>
      </c>
      <c r="K18" s="52">
        <f t="shared" si="4"/>
        <v>17.36856</v>
      </c>
      <c r="L18" s="52">
        <f t="shared" si="5"/>
        <v>16.579079999999998</v>
      </c>
      <c r="M18" s="52">
        <f t="shared" si="6"/>
        <v>12.63168</v>
      </c>
      <c r="N18" s="55">
        <f t="shared" si="7"/>
        <v>16.579079999999998</v>
      </c>
      <c r="O18" s="19">
        <f t="shared" si="8"/>
        <v>11.8422</v>
      </c>
      <c r="P18" s="19">
        <f t="shared" si="9"/>
        <v>15.7896</v>
      </c>
      <c r="Q18" s="19">
        <f t="shared" si="10"/>
        <v>11.8422</v>
      </c>
      <c r="R18" s="89">
        <f t="shared" si="11"/>
        <v>16.579079999999998</v>
      </c>
      <c r="S18" s="19">
        <f t="shared" si="12"/>
        <v>16.579079999999998</v>
      </c>
      <c r="T18" s="26"/>
      <c r="U18" s="26"/>
    </row>
    <row r="19" spans="1:21" s="1" customFormat="1" ht="12.75">
      <c r="A19" s="1" t="s">
        <v>24</v>
      </c>
      <c r="B19" s="145">
        <v>19</v>
      </c>
      <c r="C19" s="146">
        <f t="shared" si="0"/>
        <v>37.94148</v>
      </c>
      <c r="D19" s="147">
        <v>8</v>
      </c>
      <c r="E19" s="148">
        <f t="shared" si="1"/>
        <v>15.975359999999998</v>
      </c>
      <c r="F19" s="153">
        <v>9</v>
      </c>
      <c r="G19" s="52">
        <f t="shared" si="2"/>
        <v>17.972279999999998</v>
      </c>
      <c r="H19" s="18"/>
      <c r="I19" s="71"/>
      <c r="J19" s="54">
        <f t="shared" si="3"/>
        <v>71.88911999999999</v>
      </c>
      <c r="K19" s="52">
        <f t="shared" si="4"/>
        <v>9.19512</v>
      </c>
      <c r="L19" s="52">
        <f t="shared" si="5"/>
        <v>8.777159999999999</v>
      </c>
      <c r="M19" s="52">
        <f t="shared" si="6"/>
        <v>6.687359999999999</v>
      </c>
      <c r="N19" s="55">
        <f t="shared" si="7"/>
        <v>8.777159999999999</v>
      </c>
      <c r="O19" s="19">
        <f t="shared" si="8"/>
        <v>6.269399999999999</v>
      </c>
      <c r="P19" s="19">
        <f t="shared" si="9"/>
        <v>8.3592</v>
      </c>
      <c r="Q19" s="19">
        <f t="shared" si="10"/>
        <v>6.269399999999999</v>
      </c>
      <c r="R19" s="89">
        <f t="shared" si="11"/>
        <v>8.777159999999999</v>
      </c>
      <c r="S19" s="19">
        <f t="shared" si="12"/>
        <v>8.777159999999999</v>
      </c>
      <c r="T19" s="26"/>
      <c r="U19" s="26"/>
    </row>
    <row r="20" spans="1:21" s="1" customFormat="1" ht="12.75">
      <c r="A20" s="50" t="s">
        <v>25</v>
      </c>
      <c r="B20" s="154">
        <v>158</v>
      </c>
      <c r="C20" s="146">
        <f t="shared" si="0"/>
        <v>315.51336</v>
      </c>
      <c r="D20" s="155">
        <v>31</v>
      </c>
      <c r="E20" s="148">
        <f t="shared" si="1"/>
        <v>61.90452</v>
      </c>
      <c r="F20" s="149">
        <v>47</v>
      </c>
      <c r="G20" s="52">
        <f t="shared" si="2"/>
        <v>93.85524</v>
      </c>
      <c r="H20" s="56">
        <v>50</v>
      </c>
      <c r="I20" s="52">
        <f>H20*20.62*172/1000</f>
        <v>177.332</v>
      </c>
      <c r="J20" s="54">
        <f t="shared" si="3"/>
        <v>648.6051199999999</v>
      </c>
      <c r="K20" s="52">
        <f t="shared" si="4"/>
        <v>82.96112</v>
      </c>
      <c r="L20" s="52">
        <f t="shared" si="5"/>
        <v>79.19015999999999</v>
      </c>
      <c r="M20" s="52">
        <f t="shared" si="6"/>
        <v>60.335359999999994</v>
      </c>
      <c r="N20" s="55">
        <f t="shared" si="7"/>
        <v>79.19015999999999</v>
      </c>
      <c r="O20" s="19">
        <f t="shared" si="8"/>
        <v>56.56439999999999</v>
      </c>
      <c r="P20" s="19">
        <f t="shared" si="9"/>
        <v>75.41919999999999</v>
      </c>
      <c r="Q20" s="19">
        <f t="shared" si="10"/>
        <v>56.56439999999999</v>
      </c>
      <c r="R20" s="89">
        <f t="shared" si="11"/>
        <v>79.19015999999999</v>
      </c>
      <c r="S20" s="19">
        <f t="shared" si="12"/>
        <v>79.19015999999999</v>
      </c>
      <c r="T20" s="26"/>
      <c r="U20" s="26"/>
    </row>
    <row r="21" spans="1:21" s="1" customFormat="1" ht="12.75">
      <c r="A21" s="50" t="s">
        <v>26</v>
      </c>
      <c r="B21" s="154">
        <v>176</v>
      </c>
      <c r="C21" s="146">
        <f t="shared" si="0"/>
        <v>351.45792</v>
      </c>
      <c r="D21" s="155">
        <v>29</v>
      </c>
      <c r="E21" s="148">
        <f t="shared" si="1"/>
        <v>57.91068</v>
      </c>
      <c r="F21" s="149">
        <v>33</v>
      </c>
      <c r="G21" s="52">
        <f t="shared" si="2"/>
        <v>65.89836</v>
      </c>
      <c r="H21" s="56"/>
      <c r="I21" s="52"/>
      <c r="J21" s="54">
        <f t="shared" si="3"/>
        <v>475.26696000000004</v>
      </c>
      <c r="K21" s="52">
        <f t="shared" si="4"/>
        <v>60.78996000000001</v>
      </c>
      <c r="L21" s="52">
        <f t="shared" si="5"/>
        <v>58.02678</v>
      </c>
      <c r="M21" s="52">
        <f t="shared" si="6"/>
        <v>44.21088</v>
      </c>
      <c r="N21" s="55">
        <f t="shared" si="7"/>
        <v>58.02678</v>
      </c>
      <c r="O21" s="19">
        <f t="shared" si="8"/>
        <v>41.447700000000005</v>
      </c>
      <c r="P21" s="19">
        <f t="shared" si="9"/>
        <v>55.263600000000004</v>
      </c>
      <c r="Q21" s="19">
        <f t="shared" si="10"/>
        <v>41.447700000000005</v>
      </c>
      <c r="R21" s="89">
        <f t="shared" si="11"/>
        <v>58.02678</v>
      </c>
      <c r="S21" s="19">
        <f t="shared" si="12"/>
        <v>58.02678</v>
      </c>
      <c r="T21" s="26"/>
      <c r="U21" s="26"/>
    </row>
    <row r="22" spans="1:21" s="1" customFormat="1" ht="12.75">
      <c r="A22" s="50" t="s">
        <v>27</v>
      </c>
      <c r="B22" s="154">
        <v>46</v>
      </c>
      <c r="C22" s="146">
        <f t="shared" si="0"/>
        <v>91.85831999999999</v>
      </c>
      <c r="D22" s="155">
        <v>15</v>
      </c>
      <c r="E22" s="148">
        <f t="shared" si="1"/>
        <v>29.953799999999994</v>
      </c>
      <c r="F22" s="149">
        <v>9</v>
      </c>
      <c r="G22" s="52">
        <f t="shared" si="2"/>
        <v>17.972279999999998</v>
      </c>
      <c r="H22" s="56">
        <v>25</v>
      </c>
      <c r="I22" s="52">
        <f>H22*20.62*172/1000</f>
        <v>88.666</v>
      </c>
      <c r="J22" s="54">
        <f t="shared" si="3"/>
        <v>228.4504</v>
      </c>
      <c r="K22" s="52">
        <f t="shared" si="4"/>
        <v>29.2204</v>
      </c>
      <c r="L22" s="52">
        <f t="shared" si="5"/>
        <v>27.892200000000003</v>
      </c>
      <c r="M22" s="52">
        <f t="shared" si="6"/>
        <v>21.2512</v>
      </c>
      <c r="N22" s="55">
        <f t="shared" si="7"/>
        <v>27.892200000000003</v>
      </c>
      <c r="O22" s="19">
        <f t="shared" si="8"/>
        <v>19.923000000000002</v>
      </c>
      <c r="P22" s="19">
        <f t="shared" si="9"/>
        <v>26.564</v>
      </c>
      <c r="Q22" s="19">
        <f t="shared" si="10"/>
        <v>19.923000000000002</v>
      </c>
      <c r="R22" s="89">
        <f t="shared" si="11"/>
        <v>27.892200000000003</v>
      </c>
      <c r="S22" s="19">
        <f t="shared" si="12"/>
        <v>27.892200000000003</v>
      </c>
      <c r="T22" s="26"/>
      <c r="U22" s="26"/>
    </row>
    <row r="23" spans="1:21" s="1" customFormat="1" ht="12.75">
      <c r="A23" s="50" t="s">
        <v>28</v>
      </c>
      <c r="B23" s="154">
        <v>41</v>
      </c>
      <c r="C23" s="146">
        <f t="shared" si="0"/>
        <v>81.87372</v>
      </c>
      <c r="D23" s="155">
        <v>8</v>
      </c>
      <c r="E23" s="148">
        <f t="shared" si="1"/>
        <v>15.975359999999998</v>
      </c>
      <c r="F23" s="149">
        <v>12</v>
      </c>
      <c r="G23" s="52">
        <f t="shared" si="2"/>
        <v>23.963039999999996</v>
      </c>
      <c r="H23" s="56"/>
      <c r="I23" s="52"/>
      <c r="J23" s="54">
        <f t="shared" si="3"/>
        <v>121.81212</v>
      </c>
      <c r="K23" s="52">
        <f t="shared" si="4"/>
        <v>15.58062</v>
      </c>
      <c r="L23" s="52">
        <f t="shared" si="5"/>
        <v>14.87241</v>
      </c>
      <c r="M23" s="52">
        <f t="shared" si="6"/>
        <v>11.33136</v>
      </c>
      <c r="N23" s="55">
        <f t="shared" si="7"/>
        <v>14.87241</v>
      </c>
      <c r="O23" s="19">
        <f t="shared" si="8"/>
        <v>10.62315</v>
      </c>
      <c r="P23" s="19">
        <f t="shared" si="9"/>
        <v>14.164200000000001</v>
      </c>
      <c r="Q23" s="19">
        <f t="shared" si="10"/>
        <v>10.62315</v>
      </c>
      <c r="R23" s="89">
        <f t="shared" si="11"/>
        <v>14.87241</v>
      </c>
      <c r="S23" s="19">
        <f t="shared" si="12"/>
        <v>14.87241</v>
      </c>
      <c r="T23" s="26"/>
      <c r="U23" s="26"/>
    </row>
    <row r="24" spans="1:21" s="1" customFormat="1" ht="12.75">
      <c r="A24" s="50" t="s">
        <v>29</v>
      </c>
      <c r="B24" s="154">
        <v>28</v>
      </c>
      <c r="C24" s="146">
        <f t="shared" si="0"/>
        <v>55.913759999999996</v>
      </c>
      <c r="D24" s="155">
        <v>9</v>
      </c>
      <c r="E24" s="148">
        <f t="shared" si="1"/>
        <v>17.972279999999998</v>
      </c>
      <c r="F24" s="149">
        <v>7</v>
      </c>
      <c r="G24" s="52">
        <f t="shared" si="2"/>
        <v>13.978439999999999</v>
      </c>
      <c r="H24" s="56"/>
      <c r="I24" s="52"/>
      <c r="J24" s="54">
        <f t="shared" si="3"/>
        <v>87.86447999999999</v>
      </c>
      <c r="K24" s="52">
        <f t="shared" si="4"/>
        <v>11.23848</v>
      </c>
      <c r="L24" s="52">
        <f t="shared" si="5"/>
        <v>10.72764</v>
      </c>
      <c r="M24" s="52">
        <f t="shared" si="6"/>
        <v>8.17344</v>
      </c>
      <c r="N24" s="55">
        <f t="shared" si="7"/>
        <v>10.72764</v>
      </c>
      <c r="O24" s="19">
        <f t="shared" si="8"/>
        <v>7.662599999999999</v>
      </c>
      <c r="P24" s="19">
        <f t="shared" si="9"/>
        <v>10.2168</v>
      </c>
      <c r="Q24" s="19">
        <f t="shared" si="10"/>
        <v>7.662599999999999</v>
      </c>
      <c r="R24" s="89">
        <f t="shared" si="11"/>
        <v>10.72764</v>
      </c>
      <c r="S24" s="19">
        <f t="shared" si="12"/>
        <v>10.72764</v>
      </c>
      <c r="T24" s="26"/>
      <c r="U24" s="26"/>
    </row>
    <row r="25" spans="1:21" s="1" customFormat="1" ht="12.75">
      <c r="A25" s="50" t="s">
        <v>31</v>
      </c>
      <c r="B25" s="154">
        <v>10</v>
      </c>
      <c r="C25" s="146">
        <f t="shared" si="0"/>
        <v>19.9692</v>
      </c>
      <c r="D25" s="155">
        <v>4</v>
      </c>
      <c r="E25" s="148">
        <f t="shared" si="1"/>
        <v>7.987679999999999</v>
      </c>
      <c r="F25" s="149">
        <v>2</v>
      </c>
      <c r="G25" s="52">
        <f t="shared" si="2"/>
        <v>3.9938399999999996</v>
      </c>
      <c r="H25" s="56"/>
      <c r="I25" s="52"/>
      <c r="J25" s="54">
        <f t="shared" si="3"/>
        <v>31.950719999999997</v>
      </c>
      <c r="K25" s="52">
        <f t="shared" si="4"/>
        <v>4.08672</v>
      </c>
      <c r="L25" s="52">
        <f t="shared" si="5"/>
        <v>3.9009599999999995</v>
      </c>
      <c r="M25" s="52">
        <f t="shared" si="6"/>
        <v>2.9721599999999997</v>
      </c>
      <c r="N25" s="55">
        <f t="shared" si="7"/>
        <v>3.9009599999999995</v>
      </c>
      <c r="O25" s="19">
        <f t="shared" si="8"/>
        <v>2.7863999999999995</v>
      </c>
      <c r="P25" s="19">
        <f t="shared" si="9"/>
        <v>3.7151999999999994</v>
      </c>
      <c r="Q25" s="19">
        <f t="shared" si="10"/>
        <v>2.7863999999999995</v>
      </c>
      <c r="R25" s="89">
        <f t="shared" si="11"/>
        <v>3.9009599999999995</v>
      </c>
      <c r="S25" s="19">
        <f t="shared" si="12"/>
        <v>3.9009599999999995</v>
      </c>
      <c r="T25" s="26"/>
      <c r="U25" s="26"/>
    </row>
    <row r="26" spans="1:21" s="1" customFormat="1" ht="12.75">
      <c r="A26" s="50" t="s">
        <v>32</v>
      </c>
      <c r="B26" s="154">
        <v>20</v>
      </c>
      <c r="C26" s="146">
        <f t="shared" si="0"/>
        <v>39.9384</v>
      </c>
      <c r="D26" s="155">
        <v>1</v>
      </c>
      <c r="E26" s="148">
        <f t="shared" si="1"/>
        <v>1.9969199999999998</v>
      </c>
      <c r="F26" s="149">
        <v>2</v>
      </c>
      <c r="G26" s="52">
        <f t="shared" si="2"/>
        <v>3.9938399999999996</v>
      </c>
      <c r="H26" s="56"/>
      <c r="I26" s="52"/>
      <c r="J26" s="54">
        <f t="shared" si="3"/>
        <v>45.92916</v>
      </c>
      <c r="K26" s="52">
        <f t="shared" si="4"/>
        <v>5.874660000000001</v>
      </c>
      <c r="L26" s="52">
        <f t="shared" si="5"/>
        <v>5.607630000000001</v>
      </c>
      <c r="M26" s="52">
        <f t="shared" si="6"/>
        <v>4.272480000000001</v>
      </c>
      <c r="N26" s="55">
        <f t="shared" si="7"/>
        <v>5.607630000000001</v>
      </c>
      <c r="O26" s="19">
        <f t="shared" si="8"/>
        <v>4.005450000000001</v>
      </c>
      <c r="P26" s="19">
        <f t="shared" si="9"/>
        <v>5.340600000000001</v>
      </c>
      <c r="Q26" s="19">
        <f t="shared" si="10"/>
        <v>4.005450000000001</v>
      </c>
      <c r="R26" s="89">
        <f t="shared" si="11"/>
        <v>5.607630000000001</v>
      </c>
      <c r="S26" s="19">
        <f t="shared" si="12"/>
        <v>5.607630000000001</v>
      </c>
      <c r="T26" s="26"/>
      <c r="U26" s="26"/>
    </row>
    <row r="27" spans="1:21" s="1" customFormat="1" ht="12.75">
      <c r="A27" s="50" t="s">
        <v>33</v>
      </c>
      <c r="B27" s="154">
        <v>17</v>
      </c>
      <c r="C27" s="146">
        <f t="shared" si="0"/>
        <v>33.94764</v>
      </c>
      <c r="D27" s="155">
        <v>7</v>
      </c>
      <c r="E27" s="148">
        <f t="shared" si="1"/>
        <v>13.978439999999999</v>
      </c>
      <c r="F27" s="149">
        <v>1</v>
      </c>
      <c r="G27" s="52">
        <f t="shared" si="2"/>
        <v>1.9969199999999998</v>
      </c>
      <c r="H27" s="56"/>
      <c r="I27" s="52"/>
      <c r="J27" s="54">
        <f t="shared" si="3"/>
        <v>49.923</v>
      </c>
      <c r="K27" s="52">
        <f t="shared" si="4"/>
        <v>6.3855</v>
      </c>
      <c r="L27" s="52">
        <f t="shared" si="5"/>
        <v>6.09525</v>
      </c>
      <c r="M27" s="52">
        <f t="shared" si="6"/>
        <v>4.644</v>
      </c>
      <c r="N27" s="55">
        <f t="shared" si="7"/>
        <v>6.09525</v>
      </c>
      <c r="O27" s="19">
        <f t="shared" si="8"/>
        <v>4.35375</v>
      </c>
      <c r="P27" s="19">
        <f t="shared" si="9"/>
        <v>5.805</v>
      </c>
      <c r="Q27" s="19">
        <f t="shared" si="10"/>
        <v>4.35375</v>
      </c>
      <c r="R27" s="89">
        <f t="shared" si="11"/>
        <v>6.09525</v>
      </c>
      <c r="S27" s="19">
        <f t="shared" si="12"/>
        <v>6.09525</v>
      </c>
      <c r="T27" s="26"/>
      <c r="U27" s="26"/>
    </row>
    <row r="28" spans="1:21" s="1" customFormat="1" ht="12.75">
      <c r="A28" s="50" t="s">
        <v>34</v>
      </c>
      <c r="B28" s="154">
        <v>9</v>
      </c>
      <c r="C28" s="146">
        <f t="shared" si="0"/>
        <v>17.972279999999998</v>
      </c>
      <c r="D28" s="155">
        <v>10</v>
      </c>
      <c r="E28" s="148">
        <f t="shared" si="1"/>
        <v>19.9692</v>
      </c>
      <c r="F28" s="149">
        <v>1</v>
      </c>
      <c r="G28" s="52">
        <f t="shared" si="2"/>
        <v>1.9969199999999998</v>
      </c>
      <c r="H28" s="56"/>
      <c r="I28" s="52"/>
      <c r="J28" s="54">
        <f t="shared" si="3"/>
        <v>39.9384</v>
      </c>
      <c r="K28" s="52">
        <f t="shared" si="4"/>
        <v>5.1084000000000005</v>
      </c>
      <c r="L28" s="52">
        <f t="shared" si="5"/>
        <v>4.876200000000001</v>
      </c>
      <c r="M28" s="52">
        <f t="shared" si="6"/>
        <v>3.7152000000000003</v>
      </c>
      <c r="N28" s="55">
        <f t="shared" si="7"/>
        <v>4.876200000000001</v>
      </c>
      <c r="O28" s="19">
        <f t="shared" si="8"/>
        <v>3.483</v>
      </c>
      <c r="P28" s="19">
        <f t="shared" si="9"/>
        <v>4.644</v>
      </c>
      <c r="Q28" s="19">
        <f t="shared" si="10"/>
        <v>3.483</v>
      </c>
      <c r="R28" s="89">
        <f t="shared" si="11"/>
        <v>4.876200000000001</v>
      </c>
      <c r="S28" s="19">
        <f t="shared" si="12"/>
        <v>4.876200000000001</v>
      </c>
      <c r="T28" s="26"/>
      <c r="U28" s="26"/>
    </row>
    <row r="29" spans="1:21" s="1" customFormat="1" ht="12.75">
      <c r="A29" s="50" t="s">
        <v>35</v>
      </c>
      <c r="B29" s="154">
        <v>4</v>
      </c>
      <c r="C29" s="146">
        <f t="shared" si="0"/>
        <v>7.987679999999999</v>
      </c>
      <c r="D29" s="155">
        <v>0</v>
      </c>
      <c r="E29" s="148">
        <f t="shared" si="1"/>
        <v>0</v>
      </c>
      <c r="F29" s="149">
        <v>1</v>
      </c>
      <c r="G29" s="52">
        <f t="shared" si="2"/>
        <v>1.9969199999999998</v>
      </c>
      <c r="H29" s="56"/>
      <c r="I29" s="52"/>
      <c r="J29" s="54">
        <f t="shared" si="3"/>
        <v>9.984599999999999</v>
      </c>
      <c r="K29" s="52">
        <f t="shared" si="4"/>
        <v>1.2771</v>
      </c>
      <c r="L29" s="52">
        <f t="shared" si="5"/>
        <v>1.2190499999999997</v>
      </c>
      <c r="M29" s="52">
        <f t="shared" si="6"/>
        <v>0.9287999999999998</v>
      </c>
      <c r="N29" s="55">
        <f t="shared" si="7"/>
        <v>1.2190499999999997</v>
      </c>
      <c r="O29" s="19">
        <f t="shared" si="8"/>
        <v>0.8707499999999999</v>
      </c>
      <c r="P29" s="19">
        <f t="shared" si="9"/>
        <v>1.1609999999999998</v>
      </c>
      <c r="Q29" s="19">
        <f t="shared" si="10"/>
        <v>0.8707499999999999</v>
      </c>
      <c r="R29" s="89">
        <f t="shared" si="11"/>
        <v>1.2190499999999997</v>
      </c>
      <c r="S29" s="19">
        <f t="shared" si="12"/>
        <v>1.2190499999999997</v>
      </c>
      <c r="T29" s="26"/>
      <c r="U29" s="26"/>
    </row>
    <row r="30" spans="1:21" s="1" customFormat="1" ht="12.75">
      <c r="A30" s="50" t="s">
        <v>36</v>
      </c>
      <c r="B30" s="154">
        <v>13</v>
      </c>
      <c r="C30" s="146">
        <f t="shared" si="0"/>
        <v>25.959960000000002</v>
      </c>
      <c r="D30" s="155">
        <v>6</v>
      </c>
      <c r="E30" s="148">
        <f t="shared" si="1"/>
        <v>11.981519999999998</v>
      </c>
      <c r="F30" s="149">
        <v>1</v>
      </c>
      <c r="G30" s="52">
        <f t="shared" si="2"/>
        <v>1.9969199999999998</v>
      </c>
      <c r="H30" s="56"/>
      <c r="I30" s="52"/>
      <c r="J30" s="54">
        <f t="shared" si="3"/>
        <v>39.9384</v>
      </c>
      <c r="K30" s="52">
        <f t="shared" si="4"/>
        <v>5.1084000000000005</v>
      </c>
      <c r="L30" s="52">
        <f t="shared" si="5"/>
        <v>4.876200000000001</v>
      </c>
      <c r="M30" s="52">
        <f t="shared" si="6"/>
        <v>3.7152000000000003</v>
      </c>
      <c r="N30" s="55">
        <f t="shared" si="7"/>
        <v>4.876200000000001</v>
      </c>
      <c r="O30" s="19">
        <f t="shared" si="8"/>
        <v>3.483</v>
      </c>
      <c r="P30" s="19">
        <f t="shared" si="9"/>
        <v>4.644</v>
      </c>
      <c r="Q30" s="19">
        <f t="shared" si="10"/>
        <v>3.483</v>
      </c>
      <c r="R30" s="89">
        <f t="shared" si="11"/>
        <v>4.876200000000001</v>
      </c>
      <c r="S30" s="19">
        <f t="shared" si="12"/>
        <v>4.876200000000001</v>
      </c>
      <c r="T30" s="26"/>
      <c r="U30" s="26"/>
    </row>
    <row r="31" spans="1:21" s="1" customFormat="1" ht="12.75">
      <c r="A31" s="50" t="s">
        <v>37</v>
      </c>
      <c r="B31" s="154">
        <v>42</v>
      </c>
      <c r="C31" s="146">
        <f t="shared" si="0"/>
        <v>83.87064</v>
      </c>
      <c r="D31" s="155">
        <v>27</v>
      </c>
      <c r="E31" s="148">
        <f t="shared" si="1"/>
        <v>53.91683999999999</v>
      </c>
      <c r="F31" s="149">
        <v>2</v>
      </c>
      <c r="G31" s="52">
        <f t="shared" si="2"/>
        <v>3.9938399999999996</v>
      </c>
      <c r="H31" s="56"/>
      <c r="I31" s="52"/>
      <c r="J31" s="54">
        <f t="shared" si="3"/>
        <v>141.78132</v>
      </c>
      <c r="K31" s="52">
        <f t="shared" si="4"/>
        <v>18.13482</v>
      </c>
      <c r="L31" s="52">
        <f t="shared" si="5"/>
        <v>17.31051</v>
      </c>
      <c r="M31" s="52">
        <f t="shared" si="6"/>
        <v>13.18896</v>
      </c>
      <c r="N31" s="55">
        <f t="shared" si="7"/>
        <v>17.31051</v>
      </c>
      <c r="O31" s="19">
        <f t="shared" si="8"/>
        <v>12.36465</v>
      </c>
      <c r="P31" s="19">
        <f t="shared" si="9"/>
        <v>16.4862</v>
      </c>
      <c r="Q31" s="19">
        <f t="shared" si="10"/>
        <v>12.36465</v>
      </c>
      <c r="R31" s="89">
        <f t="shared" si="11"/>
        <v>17.31051</v>
      </c>
      <c r="S31" s="19">
        <f t="shared" si="12"/>
        <v>17.31051</v>
      </c>
      <c r="T31" s="26"/>
      <c r="U31" s="26"/>
    </row>
    <row r="32" spans="1:21" s="1" customFormat="1" ht="12.75">
      <c r="A32" s="50" t="s">
        <v>38</v>
      </c>
      <c r="B32" s="154">
        <v>17</v>
      </c>
      <c r="C32" s="146">
        <f t="shared" si="0"/>
        <v>33.94764</v>
      </c>
      <c r="D32" s="155">
        <v>4</v>
      </c>
      <c r="E32" s="148">
        <f t="shared" si="1"/>
        <v>7.987679999999999</v>
      </c>
      <c r="F32" s="149">
        <v>2</v>
      </c>
      <c r="G32" s="52">
        <f t="shared" si="2"/>
        <v>3.9938399999999996</v>
      </c>
      <c r="H32" s="56"/>
      <c r="I32" s="52"/>
      <c r="J32" s="54">
        <f t="shared" si="3"/>
        <v>45.929159999999996</v>
      </c>
      <c r="K32" s="52">
        <f t="shared" si="4"/>
        <v>5.8746599999999995</v>
      </c>
      <c r="L32" s="52">
        <f t="shared" si="5"/>
        <v>5.6076299999999994</v>
      </c>
      <c r="M32" s="52">
        <f t="shared" si="6"/>
        <v>4.27248</v>
      </c>
      <c r="N32" s="55">
        <f t="shared" si="7"/>
        <v>5.6076299999999994</v>
      </c>
      <c r="O32" s="19">
        <f t="shared" si="8"/>
        <v>4.00545</v>
      </c>
      <c r="P32" s="19">
        <f t="shared" si="9"/>
        <v>5.3406</v>
      </c>
      <c r="Q32" s="19">
        <f t="shared" si="10"/>
        <v>4.00545</v>
      </c>
      <c r="R32" s="89">
        <f t="shared" si="11"/>
        <v>5.6076299999999994</v>
      </c>
      <c r="S32" s="19">
        <f t="shared" si="12"/>
        <v>5.6076299999999994</v>
      </c>
      <c r="T32" s="26"/>
      <c r="U32" s="26"/>
    </row>
    <row r="33" spans="1:21" s="1" customFormat="1" ht="12.75">
      <c r="A33" s="50" t="s">
        <v>39</v>
      </c>
      <c r="B33" s="154">
        <v>10</v>
      </c>
      <c r="C33" s="146">
        <f t="shared" si="0"/>
        <v>19.9692</v>
      </c>
      <c r="D33" s="155">
        <v>0</v>
      </c>
      <c r="E33" s="148">
        <f t="shared" si="1"/>
        <v>0</v>
      </c>
      <c r="F33" s="149">
        <v>2</v>
      </c>
      <c r="G33" s="52">
        <f t="shared" si="2"/>
        <v>3.9938399999999996</v>
      </c>
      <c r="H33" s="56"/>
      <c r="I33" s="52"/>
      <c r="J33" s="54">
        <f t="shared" si="3"/>
        <v>23.96304</v>
      </c>
      <c r="K33" s="52">
        <f t="shared" si="4"/>
        <v>3.0650399999999998</v>
      </c>
      <c r="L33" s="52">
        <f t="shared" si="5"/>
        <v>2.92572</v>
      </c>
      <c r="M33" s="52">
        <f t="shared" si="6"/>
        <v>2.22912</v>
      </c>
      <c r="N33" s="55">
        <f t="shared" si="7"/>
        <v>2.92572</v>
      </c>
      <c r="O33" s="19">
        <f t="shared" si="8"/>
        <v>2.0898</v>
      </c>
      <c r="P33" s="19">
        <f t="shared" si="9"/>
        <v>2.7864</v>
      </c>
      <c r="Q33" s="19">
        <f t="shared" si="10"/>
        <v>2.0898</v>
      </c>
      <c r="R33" s="89">
        <f t="shared" si="11"/>
        <v>2.92572</v>
      </c>
      <c r="S33" s="19">
        <f t="shared" si="12"/>
        <v>2.92572</v>
      </c>
      <c r="T33" s="26"/>
      <c r="U33" s="26"/>
    </row>
    <row r="34" spans="1:21" s="1" customFormat="1" ht="12.75">
      <c r="A34" s="50" t="s">
        <v>40</v>
      </c>
      <c r="B34" s="154">
        <v>7</v>
      </c>
      <c r="C34" s="146">
        <f t="shared" si="0"/>
        <v>13.978439999999999</v>
      </c>
      <c r="D34" s="155">
        <v>2</v>
      </c>
      <c r="E34" s="148">
        <f t="shared" si="1"/>
        <v>3.9938399999999996</v>
      </c>
      <c r="F34" s="149">
        <v>2</v>
      </c>
      <c r="G34" s="52">
        <f t="shared" si="2"/>
        <v>3.9938399999999996</v>
      </c>
      <c r="H34" s="56"/>
      <c r="I34" s="52"/>
      <c r="J34" s="54">
        <f t="shared" si="3"/>
        <v>21.966119999999997</v>
      </c>
      <c r="K34" s="52">
        <f t="shared" si="4"/>
        <v>2.80962</v>
      </c>
      <c r="L34" s="52">
        <f t="shared" si="5"/>
        <v>2.68191</v>
      </c>
      <c r="M34" s="52">
        <f t="shared" si="6"/>
        <v>2.04336</v>
      </c>
      <c r="N34" s="55">
        <f t="shared" si="7"/>
        <v>2.68191</v>
      </c>
      <c r="O34" s="19">
        <f t="shared" si="8"/>
        <v>1.9156499999999999</v>
      </c>
      <c r="P34" s="19">
        <f t="shared" si="9"/>
        <v>2.5542</v>
      </c>
      <c r="Q34" s="19">
        <f t="shared" si="10"/>
        <v>1.9156499999999999</v>
      </c>
      <c r="R34" s="89">
        <f t="shared" si="11"/>
        <v>2.68191</v>
      </c>
      <c r="S34" s="19">
        <f t="shared" si="12"/>
        <v>2.68191</v>
      </c>
      <c r="T34" s="26"/>
      <c r="U34" s="26"/>
    </row>
    <row r="35" spans="1:21" s="1" customFormat="1" ht="12.75">
      <c r="A35" s="50" t="s">
        <v>42</v>
      </c>
      <c r="B35" s="154">
        <v>11</v>
      </c>
      <c r="C35" s="146">
        <f t="shared" si="0"/>
        <v>21.96612</v>
      </c>
      <c r="D35" s="155">
        <v>0</v>
      </c>
      <c r="E35" s="148">
        <f t="shared" si="1"/>
        <v>0</v>
      </c>
      <c r="F35" s="149">
        <v>0</v>
      </c>
      <c r="G35" s="52">
        <f t="shared" si="2"/>
        <v>0</v>
      </c>
      <c r="H35" s="56"/>
      <c r="I35" s="54"/>
      <c r="J35" s="54">
        <f t="shared" si="3"/>
        <v>21.96612</v>
      </c>
      <c r="K35" s="52">
        <f t="shared" si="4"/>
        <v>2.80962</v>
      </c>
      <c r="L35" s="52">
        <f t="shared" si="5"/>
        <v>2.68191</v>
      </c>
      <c r="M35" s="52">
        <f t="shared" si="6"/>
        <v>2.04336</v>
      </c>
      <c r="N35" s="55">
        <f t="shared" si="7"/>
        <v>2.68191</v>
      </c>
      <c r="O35" s="19">
        <f t="shared" si="8"/>
        <v>1.9156499999999999</v>
      </c>
      <c r="P35" s="19">
        <f t="shared" si="9"/>
        <v>2.5542</v>
      </c>
      <c r="Q35" s="19">
        <f t="shared" si="10"/>
        <v>1.9156499999999999</v>
      </c>
      <c r="R35" s="89">
        <f t="shared" si="11"/>
        <v>2.68191</v>
      </c>
      <c r="S35" s="19">
        <f t="shared" si="12"/>
        <v>2.68191</v>
      </c>
      <c r="T35" s="26"/>
      <c r="U35" s="26"/>
    </row>
    <row r="36" spans="1:21" s="1" customFormat="1" ht="12.75">
      <c r="A36" s="59" t="s">
        <v>43</v>
      </c>
      <c r="B36" s="156">
        <f aca="true" t="shared" si="13" ref="B36:S36">SUM(B16:B35)</f>
        <v>801</v>
      </c>
      <c r="C36" s="83">
        <f t="shared" si="13"/>
        <v>1599.53292</v>
      </c>
      <c r="D36" s="156">
        <f t="shared" si="13"/>
        <v>194</v>
      </c>
      <c r="E36" s="83">
        <f t="shared" si="13"/>
        <v>387.4024799999999</v>
      </c>
      <c r="F36" s="156">
        <f t="shared" si="13"/>
        <v>167</v>
      </c>
      <c r="G36" s="83">
        <f t="shared" si="13"/>
        <v>333.48563999999976</v>
      </c>
      <c r="H36" s="61">
        <f t="shared" si="13"/>
        <v>75</v>
      </c>
      <c r="I36" s="63">
        <f t="shared" si="13"/>
        <v>265.998</v>
      </c>
      <c r="J36" s="63">
        <f t="shared" si="13"/>
        <v>2586.4190399999998</v>
      </c>
      <c r="K36" s="63">
        <f t="shared" si="13"/>
        <v>330.82104000000004</v>
      </c>
      <c r="L36" s="63">
        <f t="shared" si="13"/>
        <v>315.78372</v>
      </c>
      <c r="M36" s="63">
        <f t="shared" si="13"/>
        <v>240.59712000000002</v>
      </c>
      <c r="N36" s="63">
        <f t="shared" si="13"/>
        <v>315.78372</v>
      </c>
      <c r="O36" s="63">
        <f t="shared" si="13"/>
        <v>225.55979999999997</v>
      </c>
      <c r="P36" s="63">
        <f t="shared" si="13"/>
        <v>300.74639999999994</v>
      </c>
      <c r="Q36" s="63">
        <f t="shared" si="13"/>
        <v>225.55979999999997</v>
      </c>
      <c r="R36" s="88">
        <f t="shared" si="13"/>
        <v>315.78372</v>
      </c>
      <c r="S36" s="68">
        <f t="shared" si="13"/>
        <v>315.78372</v>
      </c>
      <c r="T36" s="26">
        <f>SUM(K36:S36)</f>
        <v>2586.4190399999998</v>
      </c>
      <c r="U36" s="26"/>
    </row>
    <row r="37" spans="1:21" s="1" customFormat="1" ht="12.75">
      <c r="A37" s="65"/>
      <c r="B37" s="82"/>
      <c r="C37" s="68"/>
      <c r="D37" s="67"/>
      <c r="E37" s="68"/>
      <c r="F37" s="68"/>
      <c r="G37" s="68"/>
      <c r="H37" s="69"/>
      <c r="I37" s="68"/>
      <c r="J37" s="68"/>
      <c r="K37" s="84"/>
      <c r="L37" s="84"/>
      <c r="M37" s="84"/>
      <c r="N37" s="19"/>
      <c r="O37" s="84"/>
      <c r="P37" s="84"/>
      <c r="Q37" s="84"/>
      <c r="R37" s="90"/>
      <c r="S37" s="84"/>
      <c r="T37" s="13"/>
      <c r="U37" s="26"/>
    </row>
    <row r="38" spans="1:21" s="1" customFormat="1" ht="28.5" customHeight="1">
      <c r="A38" t="s">
        <v>72</v>
      </c>
      <c r="B38"/>
      <c r="C38"/>
      <c r="D38"/>
      <c r="E38"/>
      <c r="F38"/>
      <c r="G38"/>
      <c r="H38"/>
      <c r="I38" t="s">
        <v>116</v>
      </c>
      <c r="J38"/>
      <c r="K38" s="159"/>
      <c r="L38" s="160">
        <f>SUM(K36:N36)</f>
        <v>1202.9856</v>
      </c>
      <c r="M38" s="159"/>
      <c r="N38" s="159"/>
      <c r="O38"/>
      <c r="P38"/>
      <c r="Q38"/>
      <c r="R38"/>
      <c r="S38"/>
      <c r="T38" s="26"/>
      <c r="U38" s="26"/>
    </row>
    <row r="39" spans="1:21" s="1" customFormat="1" ht="22.5" customHeight="1">
      <c r="A39" t="s">
        <v>115</v>
      </c>
      <c r="B39"/>
      <c r="C39"/>
      <c r="D39"/>
      <c r="E39"/>
      <c r="F39"/>
      <c r="G39"/>
      <c r="H39"/>
      <c r="I39" t="s">
        <v>117</v>
      </c>
      <c r="J39"/>
      <c r="K39"/>
      <c r="L39"/>
      <c r="M39"/>
      <c r="N39"/>
      <c r="O39"/>
      <c r="P39"/>
      <c r="Q39"/>
      <c r="R39"/>
      <c r="S39"/>
      <c r="T39" s="24"/>
      <c r="U39" s="24"/>
    </row>
    <row r="40" spans="1:9" ht="23.25" customHeight="1">
      <c r="A40" t="s">
        <v>86</v>
      </c>
      <c r="I40" t="s">
        <v>88</v>
      </c>
    </row>
    <row r="42" ht="12.75">
      <c r="A42" t="s">
        <v>118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5">
      <selection activeCell="K16" sqref="K16"/>
    </sheetView>
  </sheetViews>
  <sheetFormatPr defaultColWidth="9.140625" defaultRowHeight="12.75"/>
  <cols>
    <col min="1" max="1" width="28.421875" style="0" customWidth="1"/>
    <col min="2" max="2" width="6.421875" style="0" customWidth="1"/>
    <col min="3" max="3" width="8.57421875" style="0" customWidth="1"/>
    <col min="4" max="4" width="7.7109375" style="0" customWidth="1"/>
    <col min="5" max="5" width="8.8515625" style="0" customWidth="1"/>
    <col min="6" max="6" width="7.140625" style="0" customWidth="1"/>
    <col min="7" max="7" width="8.57421875" style="0" customWidth="1"/>
    <col min="8" max="8" width="5.57421875" style="0" customWidth="1"/>
    <col min="9" max="9" width="8.57421875" style="0" customWidth="1"/>
    <col min="10" max="10" width="7.28125" style="0" customWidth="1"/>
    <col min="11" max="11" width="6.7109375" style="0" customWidth="1"/>
    <col min="12" max="12" width="7.140625" style="0" customWidth="1"/>
    <col min="13" max="13" width="6.57421875" style="0" customWidth="1"/>
    <col min="14" max="14" width="7.57421875" style="0" customWidth="1"/>
    <col min="15" max="15" width="6.7109375" style="0" customWidth="1"/>
    <col min="16" max="17" width="6.57421875" style="0" customWidth="1"/>
    <col min="18" max="18" width="7.00390625" style="0" customWidth="1"/>
    <col min="19" max="19" width="6.8515625" style="0" customWidth="1"/>
  </cols>
  <sheetData>
    <row r="1" spans="8:20" ht="15.75">
      <c r="H1" s="1"/>
      <c r="Q1" s="167" t="s">
        <v>152</v>
      </c>
      <c r="R1" s="166"/>
      <c r="S1" s="166"/>
      <c r="T1" s="166"/>
    </row>
    <row r="2" spans="4:17" ht="15.75">
      <c r="D2" s="1"/>
      <c r="E2" s="1"/>
      <c r="F2" s="1"/>
      <c r="G2" s="1"/>
      <c r="H2" s="1"/>
      <c r="Q2" s="167" t="s">
        <v>147</v>
      </c>
    </row>
    <row r="3" ht="15.75">
      <c r="Q3" s="167" t="s">
        <v>148</v>
      </c>
    </row>
    <row r="4" spans="1:19" s="1" customFormat="1" ht="15.75">
      <c r="A4" s="3"/>
      <c r="B4" s="22"/>
      <c r="C4"/>
      <c r="D4"/>
      <c r="E4"/>
      <c r="F4"/>
      <c r="G4"/>
      <c r="H4"/>
      <c r="I4"/>
      <c r="J4"/>
      <c r="K4"/>
      <c r="P4"/>
      <c r="Q4" s="167" t="s">
        <v>149</v>
      </c>
      <c r="R4"/>
      <c r="S4"/>
    </row>
    <row r="5" spans="2:19" ht="12.75">
      <c r="B5" t="s">
        <v>66</v>
      </c>
      <c r="P5" s="1"/>
      <c r="Q5" s="1"/>
      <c r="R5" s="1"/>
      <c r="S5" s="1"/>
    </row>
    <row r="6" spans="1:19" ht="12.75">
      <c r="A6" t="s">
        <v>107</v>
      </c>
      <c r="I6" t="s">
        <v>151</v>
      </c>
      <c r="P6" s="1"/>
      <c r="Q6" s="1"/>
      <c r="R6" s="1"/>
      <c r="S6" s="1"/>
    </row>
    <row r="7" spans="2:19" ht="12.75">
      <c r="B7" s="135"/>
      <c r="K7" s="1"/>
      <c r="L7" s="1"/>
      <c r="M7" s="1"/>
      <c r="N7" s="1"/>
      <c r="O7" s="1"/>
      <c r="P7" s="1"/>
      <c r="Q7" s="1"/>
      <c r="R7" s="1"/>
      <c r="S7" s="1"/>
    </row>
    <row r="8" spans="11:19" ht="12.75">
      <c r="K8" s="1"/>
      <c r="L8" s="1"/>
      <c r="M8" s="1"/>
      <c r="N8" s="1"/>
      <c r="O8" s="1"/>
      <c r="P8" s="1"/>
      <c r="Q8" s="1"/>
      <c r="R8" s="1"/>
      <c r="S8" s="1"/>
    </row>
    <row r="9" spans="1:19" ht="26.25" customHeight="1">
      <c r="A9" s="275" t="s">
        <v>137</v>
      </c>
      <c r="B9" s="272" t="s">
        <v>136</v>
      </c>
      <c r="C9" s="260" t="s">
        <v>138</v>
      </c>
      <c r="D9" s="278" t="s">
        <v>139</v>
      </c>
      <c r="E9" s="260" t="s">
        <v>140</v>
      </c>
      <c r="F9" s="281" t="s">
        <v>141</v>
      </c>
      <c r="G9" s="260" t="s">
        <v>142</v>
      </c>
      <c r="H9" s="263" t="s">
        <v>143</v>
      </c>
      <c r="I9" s="260" t="s">
        <v>144</v>
      </c>
      <c r="J9" s="266" t="s">
        <v>145</v>
      </c>
      <c r="K9" s="269" t="s">
        <v>127</v>
      </c>
      <c r="L9" s="269" t="s">
        <v>128</v>
      </c>
      <c r="M9" s="269" t="s">
        <v>129</v>
      </c>
      <c r="N9" s="269" t="s">
        <v>130</v>
      </c>
      <c r="O9" s="269" t="s">
        <v>131</v>
      </c>
      <c r="P9" s="269" t="s">
        <v>132</v>
      </c>
      <c r="Q9" s="269" t="s">
        <v>133</v>
      </c>
      <c r="R9" s="269" t="s">
        <v>134</v>
      </c>
      <c r="S9" s="269" t="s">
        <v>135</v>
      </c>
    </row>
    <row r="10" spans="1:19" ht="30" customHeight="1">
      <c r="A10" s="276"/>
      <c r="B10" s="273"/>
      <c r="C10" s="261"/>
      <c r="D10" s="279"/>
      <c r="E10" s="261"/>
      <c r="F10" s="282"/>
      <c r="G10" s="261"/>
      <c r="H10" s="264"/>
      <c r="I10" s="261"/>
      <c r="J10" s="267"/>
      <c r="K10" s="270"/>
      <c r="L10" s="270"/>
      <c r="M10" s="270"/>
      <c r="N10" s="270"/>
      <c r="O10" s="270"/>
      <c r="P10" s="270"/>
      <c r="Q10" s="270"/>
      <c r="R10" s="270"/>
      <c r="S10" s="270"/>
    </row>
    <row r="11" spans="1:19" ht="26.25" customHeight="1">
      <c r="A11" s="276"/>
      <c r="B11" s="273"/>
      <c r="C11" s="261"/>
      <c r="D11" s="279"/>
      <c r="E11" s="261"/>
      <c r="F11" s="282"/>
      <c r="G11" s="261"/>
      <c r="H11" s="264"/>
      <c r="I11" s="261"/>
      <c r="J11" s="267"/>
      <c r="K11" s="270"/>
      <c r="L11" s="270"/>
      <c r="M11" s="270"/>
      <c r="N11" s="270"/>
      <c r="O11" s="270"/>
      <c r="P11" s="270"/>
      <c r="Q11" s="270"/>
      <c r="R11" s="270"/>
      <c r="S11" s="270"/>
    </row>
    <row r="12" spans="1:19" ht="49.5" customHeight="1">
      <c r="A12" s="276"/>
      <c r="B12" s="273"/>
      <c r="C12" s="261"/>
      <c r="D12" s="279"/>
      <c r="E12" s="261"/>
      <c r="F12" s="282"/>
      <c r="G12" s="261"/>
      <c r="H12" s="264"/>
      <c r="I12" s="261"/>
      <c r="J12" s="267"/>
      <c r="K12" s="270"/>
      <c r="L12" s="270"/>
      <c r="M12" s="270"/>
      <c r="N12" s="270"/>
      <c r="O12" s="270"/>
      <c r="P12" s="270"/>
      <c r="Q12" s="270"/>
      <c r="R12" s="270"/>
      <c r="S12" s="270"/>
    </row>
    <row r="13" spans="1:19" ht="15.75" customHeight="1">
      <c r="A13" s="276"/>
      <c r="B13" s="273"/>
      <c r="C13" s="261"/>
      <c r="D13" s="279"/>
      <c r="E13" s="261"/>
      <c r="F13" s="282"/>
      <c r="G13" s="261"/>
      <c r="H13" s="264"/>
      <c r="I13" s="261"/>
      <c r="J13" s="267"/>
      <c r="K13" s="270"/>
      <c r="L13" s="270"/>
      <c r="M13" s="270"/>
      <c r="N13" s="270"/>
      <c r="O13" s="270"/>
      <c r="P13" s="270"/>
      <c r="Q13" s="270"/>
      <c r="R13" s="270"/>
      <c r="S13" s="270"/>
    </row>
    <row r="14" spans="1:19" ht="19.5" customHeight="1">
      <c r="A14" s="276"/>
      <c r="B14" s="273"/>
      <c r="C14" s="261"/>
      <c r="D14" s="279"/>
      <c r="E14" s="261"/>
      <c r="F14" s="282"/>
      <c r="G14" s="261"/>
      <c r="H14" s="264"/>
      <c r="I14" s="261"/>
      <c r="J14" s="267"/>
      <c r="K14" s="270"/>
      <c r="L14" s="270"/>
      <c r="M14" s="270"/>
      <c r="N14" s="270"/>
      <c r="O14" s="270"/>
      <c r="P14" s="270"/>
      <c r="Q14" s="270"/>
      <c r="R14" s="270"/>
      <c r="S14" s="270"/>
    </row>
    <row r="15" spans="1:19" ht="26.25" customHeight="1">
      <c r="A15" s="277"/>
      <c r="B15" s="274"/>
      <c r="C15" s="262"/>
      <c r="D15" s="280"/>
      <c r="E15" s="262"/>
      <c r="F15" s="283"/>
      <c r="G15" s="262"/>
      <c r="H15" s="265"/>
      <c r="I15" s="262"/>
      <c r="J15" s="268"/>
      <c r="K15" s="271"/>
      <c r="L15" s="271"/>
      <c r="M15" s="271"/>
      <c r="N15" s="271"/>
      <c r="O15" s="271"/>
      <c r="P15" s="271"/>
      <c r="Q15" s="271"/>
      <c r="R15" s="271"/>
      <c r="S15" s="271"/>
    </row>
    <row r="16" spans="1:19" ht="12.75">
      <c r="A16" s="173" t="s">
        <v>21</v>
      </c>
      <c r="B16" s="168">
        <v>59</v>
      </c>
      <c r="C16" s="146">
        <f>B16*11.61*172/1000</f>
        <v>117.81828</v>
      </c>
      <c r="D16" s="147">
        <v>22</v>
      </c>
      <c r="E16" s="148">
        <f>D16*11.61*172/1000</f>
        <v>43.93224</v>
      </c>
      <c r="F16" s="149">
        <v>25</v>
      </c>
      <c r="G16" s="52">
        <f>F16*20.62*172/1000</f>
        <v>88.666</v>
      </c>
      <c r="H16" s="50"/>
      <c r="I16" s="54"/>
      <c r="J16" s="54">
        <f>C16+E16+G16+I16</f>
        <v>250.41652</v>
      </c>
      <c r="K16" s="161">
        <f>J16/173*20</f>
        <v>28.94988670520231</v>
      </c>
      <c r="L16" s="161">
        <f>J16/173*23</f>
        <v>33.292369710982655</v>
      </c>
      <c r="M16" s="161">
        <f>J16/173*17</f>
        <v>24.607403699421965</v>
      </c>
      <c r="N16" s="162">
        <f>J16/173*20</f>
        <v>28.94988670520231</v>
      </c>
      <c r="O16" s="161">
        <f>J16/173*14</f>
        <v>20.264920693641617</v>
      </c>
      <c r="P16" s="163">
        <f>J16/173*20</f>
        <v>28.94988670520231</v>
      </c>
      <c r="Q16" s="163">
        <f>J16/173*16</f>
        <v>23.159909364161848</v>
      </c>
      <c r="R16" s="164">
        <f>J16/173*21</f>
        <v>30.397381040462427</v>
      </c>
      <c r="S16" s="165">
        <f>J16/173*21</f>
        <v>30.397381040462427</v>
      </c>
    </row>
    <row r="17" spans="1:19" ht="12.75">
      <c r="A17" s="17" t="s">
        <v>22</v>
      </c>
      <c r="B17" s="169">
        <v>50</v>
      </c>
      <c r="C17" s="146">
        <f aca="true" t="shared" si="0" ref="C17:C35">B17*11.61*172/1000</f>
        <v>99.846</v>
      </c>
      <c r="D17" s="151">
        <v>12</v>
      </c>
      <c r="E17" s="148">
        <f aca="true" t="shared" si="1" ref="E17:E35">D17*11.61*172/1000</f>
        <v>23.963039999999996</v>
      </c>
      <c r="F17" s="149">
        <v>16</v>
      </c>
      <c r="G17" s="52">
        <f aca="true" t="shared" si="2" ref="G17:G34">F17*20.62*172/1000</f>
        <v>56.74624000000001</v>
      </c>
      <c r="H17" s="39"/>
      <c r="I17" s="54"/>
      <c r="J17" s="54">
        <f aca="true" t="shared" si="3" ref="J17:J35">C17+E17+G17+I17</f>
        <v>180.55528</v>
      </c>
      <c r="K17" s="161">
        <f aca="true" t="shared" si="4" ref="K17:K35">J17/173*20</f>
        <v>20.873442774566474</v>
      </c>
      <c r="L17" s="161">
        <f aca="true" t="shared" si="5" ref="L17:L35">J17/173*23</f>
        <v>24.004459190751444</v>
      </c>
      <c r="M17" s="161">
        <f aca="true" t="shared" si="6" ref="M17:M35">J17/173*17</f>
        <v>17.7424263583815</v>
      </c>
      <c r="N17" s="162">
        <f aca="true" t="shared" si="7" ref="N17:N35">J17/173*20</f>
        <v>20.873442774566474</v>
      </c>
      <c r="O17" s="161">
        <f aca="true" t="shared" si="8" ref="O17:O35">J17/173*14</f>
        <v>14.61140994219653</v>
      </c>
      <c r="P17" s="52">
        <f aca="true" t="shared" si="9" ref="P17:P35">J17/173*20</f>
        <v>20.873442774566474</v>
      </c>
      <c r="Q17" s="163">
        <f aca="true" t="shared" si="10" ref="Q17:Q35">J17/173*16</f>
        <v>16.69875421965318</v>
      </c>
      <c r="R17" s="164">
        <f aca="true" t="shared" si="11" ref="R17:R35">J17/173*21</f>
        <v>21.917114913294796</v>
      </c>
      <c r="S17" s="157">
        <f aca="true" t="shared" si="12" ref="S17:S35">J17/173*21</f>
        <v>21.917114913294796</v>
      </c>
    </row>
    <row r="18" spans="1:19" s="1" customFormat="1" ht="12.75">
      <c r="A18" s="174" t="s">
        <v>23</v>
      </c>
      <c r="B18" s="168">
        <v>63</v>
      </c>
      <c r="C18" s="146">
        <f t="shared" si="0"/>
        <v>125.80596</v>
      </c>
      <c r="D18" s="152">
        <v>4</v>
      </c>
      <c r="E18" s="148">
        <f t="shared" si="1"/>
        <v>7.987679999999999</v>
      </c>
      <c r="F18" s="149">
        <v>16</v>
      </c>
      <c r="G18" s="52">
        <f t="shared" si="2"/>
        <v>56.74624000000001</v>
      </c>
      <c r="H18" s="33"/>
      <c r="I18" s="54"/>
      <c r="J18" s="54">
        <f t="shared" si="3"/>
        <v>190.53988</v>
      </c>
      <c r="K18" s="161">
        <f t="shared" si="4"/>
        <v>22.027731791907517</v>
      </c>
      <c r="L18" s="161">
        <f t="shared" si="5"/>
        <v>25.331891560693645</v>
      </c>
      <c r="M18" s="161">
        <f t="shared" si="6"/>
        <v>18.72357202312139</v>
      </c>
      <c r="N18" s="162">
        <f t="shared" si="7"/>
        <v>22.027731791907517</v>
      </c>
      <c r="O18" s="161">
        <f t="shared" si="8"/>
        <v>15.419412254335262</v>
      </c>
      <c r="P18" s="52">
        <f t="shared" si="9"/>
        <v>22.027731791907517</v>
      </c>
      <c r="Q18" s="163">
        <f t="shared" si="10"/>
        <v>17.622185433526013</v>
      </c>
      <c r="R18" s="164">
        <f t="shared" si="11"/>
        <v>23.12911838150289</v>
      </c>
      <c r="S18" s="157">
        <f t="shared" si="12"/>
        <v>23.12911838150289</v>
      </c>
    </row>
    <row r="19" spans="1:19" s="1" customFormat="1" ht="12.75">
      <c r="A19" s="17" t="s">
        <v>24</v>
      </c>
      <c r="B19" s="168">
        <v>23</v>
      </c>
      <c r="C19" s="146">
        <f t="shared" si="0"/>
        <v>45.929159999999996</v>
      </c>
      <c r="D19" s="147">
        <v>4</v>
      </c>
      <c r="E19" s="148">
        <f t="shared" si="1"/>
        <v>7.987679999999999</v>
      </c>
      <c r="F19" s="153">
        <v>1</v>
      </c>
      <c r="G19" s="52">
        <f t="shared" si="2"/>
        <v>3.5466400000000005</v>
      </c>
      <c r="H19" s="18"/>
      <c r="I19" s="71"/>
      <c r="J19" s="54">
        <f t="shared" si="3"/>
        <v>57.46348</v>
      </c>
      <c r="K19" s="161">
        <f t="shared" si="4"/>
        <v>6.643176878612716</v>
      </c>
      <c r="L19" s="161">
        <f t="shared" si="5"/>
        <v>7.639653410404624</v>
      </c>
      <c r="M19" s="161">
        <f t="shared" si="6"/>
        <v>5.6467003468208095</v>
      </c>
      <c r="N19" s="162">
        <f t="shared" si="7"/>
        <v>6.643176878612716</v>
      </c>
      <c r="O19" s="161">
        <f t="shared" si="8"/>
        <v>4.650223815028902</v>
      </c>
      <c r="P19" s="52">
        <f t="shared" si="9"/>
        <v>6.643176878612716</v>
      </c>
      <c r="Q19" s="163">
        <f t="shared" si="10"/>
        <v>5.314541502890173</v>
      </c>
      <c r="R19" s="164">
        <f t="shared" si="11"/>
        <v>6.9753357225433525</v>
      </c>
      <c r="S19" s="157">
        <f t="shared" si="12"/>
        <v>6.9753357225433525</v>
      </c>
    </row>
    <row r="20" spans="1:19" s="1" customFormat="1" ht="12.75">
      <c r="A20" s="174" t="s">
        <v>25</v>
      </c>
      <c r="B20" s="170">
        <v>165</v>
      </c>
      <c r="C20" s="146">
        <f t="shared" si="0"/>
        <v>329.4918</v>
      </c>
      <c r="D20" s="155">
        <v>26</v>
      </c>
      <c r="E20" s="148">
        <f t="shared" si="1"/>
        <v>51.919920000000005</v>
      </c>
      <c r="F20" s="149">
        <v>51</v>
      </c>
      <c r="G20" s="52">
        <f t="shared" si="2"/>
        <v>180.87864000000002</v>
      </c>
      <c r="H20" s="56">
        <v>50</v>
      </c>
      <c r="I20" s="52">
        <f>H20*20.62*172/1000</f>
        <v>177.332</v>
      </c>
      <c r="J20" s="54">
        <f t="shared" si="3"/>
        <v>739.62236</v>
      </c>
      <c r="K20" s="161">
        <f t="shared" si="4"/>
        <v>85.50547514450867</v>
      </c>
      <c r="L20" s="161">
        <f t="shared" si="5"/>
        <v>98.33129641618495</v>
      </c>
      <c r="M20" s="161">
        <f t="shared" si="6"/>
        <v>72.67965387283236</v>
      </c>
      <c r="N20" s="162">
        <f t="shared" si="7"/>
        <v>85.50547514450867</v>
      </c>
      <c r="O20" s="161">
        <f t="shared" si="8"/>
        <v>59.85383260115606</v>
      </c>
      <c r="P20" s="52">
        <f t="shared" si="9"/>
        <v>85.50547514450867</v>
      </c>
      <c r="Q20" s="163">
        <f t="shared" si="10"/>
        <v>68.40438011560693</v>
      </c>
      <c r="R20" s="164">
        <f t="shared" si="11"/>
        <v>89.78074890173409</v>
      </c>
      <c r="S20" s="157">
        <f t="shared" si="12"/>
        <v>89.78074890173409</v>
      </c>
    </row>
    <row r="21" spans="1:19" s="1" customFormat="1" ht="12.75">
      <c r="A21" s="174" t="s">
        <v>26</v>
      </c>
      <c r="B21" s="170">
        <v>171</v>
      </c>
      <c r="C21" s="146">
        <f t="shared" si="0"/>
        <v>341.47332</v>
      </c>
      <c r="D21" s="155">
        <v>13</v>
      </c>
      <c r="E21" s="148">
        <f t="shared" si="1"/>
        <v>25.959960000000002</v>
      </c>
      <c r="F21" s="149">
        <v>34</v>
      </c>
      <c r="G21" s="52">
        <f t="shared" si="2"/>
        <v>120.58576000000001</v>
      </c>
      <c r="H21" s="56"/>
      <c r="I21" s="52"/>
      <c r="J21" s="54">
        <f t="shared" si="3"/>
        <v>488.01904</v>
      </c>
      <c r="K21" s="161">
        <f t="shared" si="4"/>
        <v>56.418386127167636</v>
      </c>
      <c r="L21" s="161">
        <f t="shared" si="5"/>
        <v>64.88114404624278</v>
      </c>
      <c r="M21" s="161">
        <f t="shared" si="6"/>
        <v>47.95562820809249</v>
      </c>
      <c r="N21" s="162">
        <f t="shared" si="7"/>
        <v>56.418386127167636</v>
      </c>
      <c r="O21" s="161">
        <f t="shared" si="8"/>
        <v>39.49287028901735</v>
      </c>
      <c r="P21" s="52">
        <f t="shared" si="9"/>
        <v>56.418386127167636</v>
      </c>
      <c r="Q21" s="163">
        <f t="shared" si="10"/>
        <v>45.13470890173411</v>
      </c>
      <c r="R21" s="164">
        <f t="shared" si="11"/>
        <v>59.23930543352601</v>
      </c>
      <c r="S21" s="157">
        <f t="shared" si="12"/>
        <v>59.23930543352601</v>
      </c>
    </row>
    <row r="22" spans="1:19" s="1" customFormat="1" ht="12.75">
      <c r="A22" s="174" t="s">
        <v>27</v>
      </c>
      <c r="B22" s="170">
        <v>43</v>
      </c>
      <c r="C22" s="146">
        <f t="shared" si="0"/>
        <v>85.86756</v>
      </c>
      <c r="D22" s="155">
        <v>13</v>
      </c>
      <c r="E22" s="148">
        <f t="shared" si="1"/>
        <v>25.959960000000002</v>
      </c>
      <c r="F22" s="149">
        <v>16</v>
      </c>
      <c r="G22" s="52">
        <f t="shared" si="2"/>
        <v>56.74624000000001</v>
      </c>
      <c r="H22" s="56">
        <v>25</v>
      </c>
      <c r="I22" s="52">
        <f>H22*20.62*172/1000</f>
        <v>88.666</v>
      </c>
      <c r="J22" s="54">
        <f t="shared" si="3"/>
        <v>257.23976</v>
      </c>
      <c r="K22" s="161">
        <f t="shared" si="4"/>
        <v>29.73870057803468</v>
      </c>
      <c r="L22" s="161">
        <f t="shared" si="5"/>
        <v>34.19950566473988</v>
      </c>
      <c r="M22" s="161">
        <f t="shared" si="6"/>
        <v>25.277895491329478</v>
      </c>
      <c r="N22" s="162">
        <f t="shared" si="7"/>
        <v>29.73870057803468</v>
      </c>
      <c r="O22" s="161">
        <f t="shared" si="8"/>
        <v>20.817090404624278</v>
      </c>
      <c r="P22" s="52">
        <f t="shared" si="9"/>
        <v>29.73870057803468</v>
      </c>
      <c r="Q22" s="163">
        <f t="shared" si="10"/>
        <v>23.790960462427744</v>
      </c>
      <c r="R22" s="164">
        <f t="shared" si="11"/>
        <v>31.225635606936414</v>
      </c>
      <c r="S22" s="157">
        <f t="shared" si="12"/>
        <v>31.225635606936414</v>
      </c>
    </row>
    <row r="23" spans="1:19" s="1" customFormat="1" ht="12.75">
      <c r="A23" s="174" t="s">
        <v>28</v>
      </c>
      <c r="B23" s="170">
        <v>42</v>
      </c>
      <c r="C23" s="146">
        <f t="shared" si="0"/>
        <v>83.87064</v>
      </c>
      <c r="D23" s="155">
        <v>13</v>
      </c>
      <c r="E23" s="148">
        <f t="shared" si="1"/>
        <v>25.959960000000002</v>
      </c>
      <c r="F23" s="149">
        <v>13</v>
      </c>
      <c r="G23" s="52">
        <f t="shared" si="2"/>
        <v>46.10632</v>
      </c>
      <c r="H23" s="56"/>
      <c r="I23" s="52"/>
      <c r="J23" s="54">
        <f t="shared" si="3"/>
        <v>155.93692</v>
      </c>
      <c r="K23" s="161">
        <f t="shared" si="4"/>
        <v>18.02738959537572</v>
      </c>
      <c r="L23" s="161">
        <f t="shared" si="5"/>
        <v>20.73149803468208</v>
      </c>
      <c r="M23" s="161">
        <f t="shared" si="6"/>
        <v>15.323281156069362</v>
      </c>
      <c r="N23" s="162">
        <f t="shared" si="7"/>
        <v>18.02738959537572</v>
      </c>
      <c r="O23" s="161">
        <f t="shared" si="8"/>
        <v>12.619172716763003</v>
      </c>
      <c r="P23" s="52">
        <f t="shared" si="9"/>
        <v>18.02738959537572</v>
      </c>
      <c r="Q23" s="163">
        <f t="shared" si="10"/>
        <v>14.421911676300576</v>
      </c>
      <c r="R23" s="164">
        <f t="shared" si="11"/>
        <v>18.928759075144505</v>
      </c>
      <c r="S23" s="157">
        <f t="shared" si="12"/>
        <v>18.928759075144505</v>
      </c>
    </row>
    <row r="24" spans="1:19" s="1" customFormat="1" ht="12.75">
      <c r="A24" s="174" t="s">
        <v>29</v>
      </c>
      <c r="B24" s="170">
        <v>25</v>
      </c>
      <c r="C24" s="146">
        <f t="shared" si="0"/>
        <v>49.923</v>
      </c>
      <c r="D24" s="155">
        <v>8</v>
      </c>
      <c r="E24" s="148">
        <f t="shared" si="1"/>
        <v>15.975359999999998</v>
      </c>
      <c r="F24" s="149">
        <v>7</v>
      </c>
      <c r="G24" s="52">
        <f t="shared" si="2"/>
        <v>24.82648</v>
      </c>
      <c r="H24" s="56"/>
      <c r="I24" s="52"/>
      <c r="J24" s="54">
        <f t="shared" si="3"/>
        <v>90.72484</v>
      </c>
      <c r="K24" s="161">
        <f t="shared" si="4"/>
        <v>10.488420809248556</v>
      </c>
      <c r="L24" s="161">
        <f t="shared" si="5"/>
        <v>12.061683930635839</v>
      </c>
      <c r="M24" s="161">
        <f t="shared" si="6"/>
        <v>8.915157687861273</v>
      </c>
      <c r="N24" s="162">
        <f t="shared" si="7"/>
        <v>10.488420809248556</v>
      </c>
      <c r="O24" s="161">
        <f t="shared" si="8"/>
        <v>7.3418945664739885</v>
      </c>
      <c r="P24" s="52">
        <f t="shared" si="9"/>
        <v>10.488420809248556</v>
      </c>
      <c r="Q24" s="163">
        <f t="shared" si="10"/>
        <v>8.390736647398844</v>
      </c>
      <c r="R24" s="164">
        <f t="shared" si="11"/>
        <v>11.012841849710982</v>
      </c>
      <c r="S24" s="157">
        <f t="shared" si="12"/>
        <v>11.012841849710982</v>
      </c>
    </row>
    <row r="25" spans="1:19" s="1" customFormat="1" ht="12.75">
      <c r="A25" s="174" t="s">
        <v>31</v>
      </c>
      <c r="B25" s="170">
        <v>14</v>
      </c>
      <c r="C25" s="146">
        <f t="shared" si="0"/>
        <v>27.956879999999998</v>
      </c>
      <c r="D25" s="155">
        <v>4</v>
      </c>
      <c r="E25" s="148">
        <f t="shared" si="1"/>
        <v>7.987679999999999</v>
      </c>
      <c r="F25" s="149">
        <v>0</v>
      </c>
      <c r="G25" s="52">
        <f t="shared" si="2"/>
        <v>0</v>
      </c>
      <c r="H25" s="56"/>
      <c r="I25" s="52"/>
      <c r="J25" s="54">
        <f t="shared" si="3"/>
        <v>35.944559999999996</v>
      </c>
      <c r="K25" s="161">
        <f t="shared" si="4"/>
        <v>4.1554404624277455</v>
      </c>
      <c r="L25" s="161">
        <f t="shared" si="5"/>
        <v>4.778756531791907</v>
      </c>
      <c r="M25" s="161">
        <f t="shared" si="6"/>
        <v>3.5321243930635835</v>
      </c>
      <c r="N25" s="162">
        <f t="shared" si="7"/>
        <v>4.1554404624277455</v>
      </c>
      <c r="O25" s="161">
        <f t="shared" si="8"/>
        <v>2.9088083236994215</v>
      </c>
      <c r="P25" s="52">
        <f t="shared" si="9"/>
        <v>4.1554404624277455</v>
      </c>
      <c r="Q25" s="163">
        <f t="shared" si="10"/>
        <v>3.324352369942196</v>
      </c>
      <c r="R25" s="164">
        <f t="shared" si="11"/>
        <v>4.363212485549132</v>
      </c>
      <c r="S25" s="157">
        <f t="shared" si="12"/>
        <v>4.363212485549132</v>
      </c>
    </row>
    <row r="26" spans="1:19" s="1" customFormat="1" ht="12.75">
      <c r="A26" s="174" t="s">
        <v>32</v>
      </c>
      <c r="B26" s="170">
        <v>18</v>
      </c>
      <c r="C26" s="146">
        <f t="shared" si="0"/>
        <v>35.944559999999996</v>
      </c>
      <c r="D26" s="155">
        <v>2</v>
      </c>
      <c r="E26" s="148">
        <f t="shared" si="1"/>
        <v>3.9938399999999996</v>
      </c>
      <c r="F26" s="149">
        <v>2</v>
      </c>
      <c r="G26" s="52">
        <f t="shared" si="2"/>
        <v>7.093280000000001</v>
      </c>
      <c r="H26" s="56"/>
      <c r="I26" s="52"/>
      <c r="J26" s="54">
        <f t="shared" si="3"/>
        <v>47.031679999999994</v>
      </c>
      <c r="K26" s="161">
        <f t="shared" si="4"/>
        <v>5.437188439306357</v>
      </c>
      <c r="L26" s="161">
        <f t="shared" si="5"/>
        <v>6.252766705202311</v>
      </c>
      <c r="M26" s="161">
        <f t="shared" si="6"/>
        <v>4.621610173410404</v>
      </c>
      <c r="N26" s="162">
        <f t="shared" si="7"/>
        <v>5.437188439306357</v>
      </c>
      <c r="O26" s="161">
        <f t="shared" si="8"/>
        <v>3.80603190751445</v>
      </c>
      <c r="P26" s="52">
        <f t="shared" si="9"/>
        <v>5.437188439306357</v>
      </c>
      <c r="Q26" s="163">
        <f t="shared" si="10"/>
        <v>4.349750751445086</v>
      </c>
      <c r="R26" s="164">
        <f t="shared" si="11"/>
        <v>5.709047861271675</v>
      </c>
      <c r="S26" s="157">
        <f t="shared" si="12"/>
        <v>5.709047861271675</v>
      </c>
    </row>
    <row r="27" spans="1:19" s="1" customFormat="1" ht="12.75">
      <c r="A27" s="174" t="s">
        <v>33</v>
      </c>
      <c r="B27" s="170">
        <v>16</v>
      </c>
      <c r="C27" s="146">
        <f t="shared" si="0"/>
        <v>31.950719999999997</v>
      </c>
      <c r="D27" s="155">
        <v>6</v>
      </c>
      <c r="E27" s="148">
        <f t="shared" si="1"/>
        <v>11.981519999999998</v>
      </c>
      <c r="F27" s="149">
        <v>3</v>
      </c>
      <c r="G27" s="52">
        <f t="shared" si="2"/>
        <v>10.63992</v>
      </c>
      <c r="H27" s="56"/>
      <c r="I27" s="52"/>
      <c r="J27" s="54">
        <f t="shared" si="3"/>
        <v>54.57216</v>
      </c>
      <c r="K27" s="161">
        <f t="shared" si="4"/>
        <v>6.308920231213873</v>
      </c>
      <c r="L27" s="161">
        <f t="shared" si="5"/>
        <v>7.255258265895954</v>
      </c>
      <c r="M27" s="161">
        <f t="shared" si="6"/>
        <v>5.3625821965317915</v>
      </c>
      <c r="N27" s="162">
        <f t="shared" si="7"/>
        <v>6.308920231213873</v>
      </c>
      <c r="O27" s="161">
        <f t="shared" si="8"/>
        <v>4.416244161849711</v>
      </c>
      <c r="P27" s="52">
        <f t="shared" si="9"/>
        <v>6.308920231213873</v>
      </c>
      <c r="Q27" s="163">
        <f t="shared" si="10"/>
        <v>5.047136184971098</v>
      </c>
      <c r="R27" s="164">
        <f t="shared" si="11"/>
        <v>6.624366242774566</v>
      </c>
      <c r="S27" s="157">
        <f t="shared" si="12"/>
        <v>6.624366242774566</v>
      </c>
    </row>
    <row r="28" spans="1:19" s="1" customFormat="1" ht="12.75">
      <c r="A28" s="174" t="s">
        <v>34</v>
      </c>
      <c r="B28" s="170">
        <v>8</v>
      </c>
      <c r="C28" s="146">
        <f t="shared" si="0"/>
        <v>15.975359999999998</v>
      </c>
      <c r="D28" s="155">
        <v>11</v>
      </c>
      <c r="E28" s="148">
        <f t="shared" si="1"/>
        <v>21.96612</v>
      </c>
      <c r="F28" s="149">
        <v>0</v>
      </c>
      <c r="G28" s="52">
        <f t="shared" si="2"/>
        <v>0</v>
      </c>
      <c r="H28" s="56"/>
      <c r="I28" s="52"/>
      <c r="J28" s="54">
        <f t="shared" si="3"/>
        <v>37.94148</v>
      </c>
      <c r="K28" s="161">
        <f t="shared" si="4"/>
        <v>4.386298265895954</v>
      </c>
      <c r="L28" s="161">
        <f t="shared" si="5"/>
        <v>5.044243005780347</v>
      </c>
      <c r="M28" s="161">
        <f t="shared" si="6"/>
        <v>3.728353526011561</v>
      </c>
      <c r="N28" s="162">
        <f t="shared" si="7"/>
        <v>4.386298265895954</v>
      </c>
      <c r="O28" s="161">
        <f t="shared" si="8"/>
        <v>3.0704087861271674</v>
      </c>
      <c r="P28" s="52">
        <f t="shared" si="9"/>
        <v>4.386298265895954</v>
      </c>
      <c r="Q28" s="163">
        <f t="shared" si="10"/>
        <v>3.509038612716763</v>
      </c>
      <c r="R28" s="164">
        <f t="shared" si="11"/>
        <v>4.605613179190751</v>
      </c>
      <c r="S28" s="157">
        <f t="shared" si="12"/>
        <v>4.605613179190751</v>
      </c>
    </row>
    <row r="29" spans="1:19" s="1" customFormat="1" ht="12.75">
      <c r="A29" s="174" t="s">
        <v>35</v>
      </c>
      <c r="B29" s="170">
        <v>6</v>
      </c>
      <c r="C29" s="146">
        <f t="shared" si="0"/>
        <v>11.981519999999998</v>
      </c>
      <c r="D29" s="155">
        <v>0</v>
      </c>
      <c r="E29" s="148">
        <f t="shared" si="1"/>
        <v>0</v>
      </c>
      <c r="F29" s="149">
        <v>0</v>
      </c>
      <c r="G29" s="52">
        <f t="shared" si="2"/>
        <v>0</v>
      </c>
      <c r="H29" s="56"/>
      <c r="I29" s="52"/>
      <c r="J29" s="54">
        <f t="shared" si="3"/>
        <v>11.981519999999998</v>
      </c>
      <c r="K29" s="161">
        <f t="shared" si="4"/>
        <v>1.3851468208092483</v>
      </c>
      <c r="L29" s="161">
        <f t="shared" si="5"/>
        <v>1.5929188439306354</v>
      </c>
      <c r="M29" s="161">
        <f t="shared" si="6"/>
        <v>1.177374797687861</v>
      </c>
      <c r="N29" s="162">
        <f t="shared" si="7"/>
        <v>1.3851468208092483</v>
      </c>
      <c r="O29" s="161">
        <f t="shared" si="8"/>
        <v>0.9696027745664737</v>
      </c>
      <c r="P29" s="52">
        <f t="shared" si="9"/>
        <v>1.3851468208092483</v>
      </c>
      <c r="Q29" s="163">
        <f t="shared" si="10"/>
        <v>1.1081174566473986</v>
      </c>
      <c r="R29" s="164">
        <f t="shared" si="11"/>
        <v>1.4544041618497106</v>
      </c>
      <c r="S29" s="157">
        <f t="shared" si="12"/>
        <v>1.4544041618497106</v>
      </c>
    </row>
    <row r="30" spans="1:19" s="1" customFormat="1" ht="12.75">
      <c r="A30" s="174" t="s">
        <v>36</v>
      </c>
      <c r="B30" s="170">
        <v>10</v>
      </c>
      <c r="C30" s="146">
        <f t="shared" si="0"/>
        <v>19.9692</v>
      </c>
      <c r="D30" s="155">
        <v>4</v>
      </c>
      <c r="E30" s="148">
        <f t="shared" si="1"/>
        <v>7.987679999999999</v>
      </c>
      <c r="F30" s="149">
        <v>4</v>
      </c>
      <c r="G30" s="52">
        <f t="shared" si="2"/>
        <v>14.186560000000002</v>
      </c>
      <c r="H30" s="56"/>
      <c r="I30" s="52"/>
      <c r="J30" s="54">
        <f t="shared" si="3"/>
        <v>42.14344</v>
      </c>
      <c r="K30" s="161">
        <f t="shared" si="4"/>
        <v>4.872073988439306</v>
      </c>
      <c r="L30" s="161">
        <f t="shared" si="5"/>
        <v>5.602885086705202</v>
      </c>
      <c r="M30" s="161">
        <f t="shared" si="6"/>
        <v>4.14126289017341</v>
      </c>
      <c r="N30" s="162">
        <f t="shared" si="7"/>
        <v>4.872073988439306</v>
      </c>
      <c r="O30" s="161">
        <f t="shared" si="8"/>
        <v>3.4104517919075144</v>
      </c>
      <c r="P30" s="52">
        <f t="shared" si="9"/>
        <v>4.872073988439306</v>
      </c>
      <c r="Q30" s="163">
        <f t="shared" si="10"/>
        <v>3.897659190751445</v>
      </c>
      <c r="R30" s="164">
        <f t="shared" si="11"/>
        <v>5.115677687861272</v>
      </c>
      <c r="S30" s="157">
        <f t="shared" si="12"/>
        <v>5.115677687861272</v>
      </c>
    </row>
    <row r="31" spans="1:19" s="1" customFormat="1" ht="12.75">
      <c r="A31" s="174" t="s">
        <v>37</v>
      </c>
      <c r="B31" s="170">
        <v>38</v>
      </c>
      <c r="C31" s="146">
        <f t="shared" si="0"/>
        <v>75.88296</v>
      </c>
      <c r="D31" s="155">
        <v>23</v>
      </c>
      <c r="E31" s="148">
        <f t="shared" si="1"/>
        <v>45.929159999999996</v>
      </c>
      <c r="F31" s="149">
        <v>7</v>
      </c>
      <c r="G31" s="52">
        <f t="shared" si="2"/>
        <v>24.82648</v>
      </c>
      <c r="H31" s="56"/>
      <c r="I31" s="52"/>
      <c r="J31" s="54">
        <f t="shared" si="3"/>
        <v>146.6386</v>
      </c>
      <c r="K31" s="161">
        <f t="shared" si="4"/>
        <v>16.95243930635838</v>
      </c>
      <c r="L31" s="161">
        <f t="shared" si="5"/>
        <v>19.49530520231214</v>
      </c>
      <c r="M31" s="161">
        <f t="shared" si="6"/>
        <v>14.409573410404622</v>
      </c>
      <c r="N31" s="162">
        <f t="shared" si="7"/>
        <v>16.95243930635838</v>
      </c>
      <c r="O31" s="161">
        <f t="shared" si="8"/>
        <v>11.866707514450866</v>
      </c>
      <c r="P31" s="52">
        <f t="shared" si="9"/>
        <v>16.95243930635838</v>
      </c>
      <c r="Q31" s="163">
        <f t="shared" si="10"/>
        <v>13.561951445086704</v>
      </c>
      <c r="R31" s="164">
        <f t="shared" si="11"/>
        <v>17.8000612716763</v>
      </c>
      <c r="S31" s="157">
        <f t="shared" si="12"/>
        <v>17.8000612716763</v>
      </c>
    </row>
    <row r="32" spans="1:19" s="1" customFormat="1" ht="12.75">
      <c r="A32" s="174" t="s">
        <v>38</v>
      </c>
      <c r="B32" s="170">
        <v>19</v>
      </c>
      <c r="C32" s="146">
        <f t="shared" si="0"/>
        <v>37.94148</v>
      </c>
      <c r="D32" s="155">
        <v>3</v>
      </c>
      <c r="E32" s="148">
        <f t="shared" si="1"/>
        <v>5.990759999999999</v>
      </c>
      <c r="F32" s="149">
        <v>1</v>
      </c>
      <c r="G32" s="52">
        <f t="shared" si="2"/>
        <v>3.5466400000000005</v>
      </c>
      <c r="H32" s="56"/>
      <c r="I32" s="52"/>
      <c r="J32" s="54">
        <f t="shared" si="3"/>
        <v>47.478880000000004</v>
      </c>
      <c r="K32" s="161">
        <f t="shared" si="4"/>
        <v>5.488887861271676</v>
      </c>
      <c r="L32" s="161">
        <f t="shared" si="5"/>
        <v>6.312221040462427</v>
      </c>
      <c r="M32" s="161">
        <f t="shared" si="6"/>
        <v>4.665554682080925</v>
      </c>
      <c r="N32" s="162">
        <f t="shared" si="7"/>
        <v>5.488887861271676</v>
      </c>
      <c r="O32" s="161">
        <f t="shared" si="8"/>
        <v>3.8422215028901734</v>
      </c>
      <c r="P32" s="52">
        <f t="shared" si="9"/>
        <v>5.488887861271676</v>
      </c>
      <c r="Q32" s="163">
        <f t="shared" si="10"/>
        <v>4.391110289017341</v>
      </c>
      <c r="R32" s="164">
        <f t="shared" si="11"/>
        <v>5.7633322543352605</v>
      </c>
      <c r="S32" s="157">
        <f t="shared" si="12"/>
        <v>5.7633322543352605</v>
      </c>
    </row>
    <row r="33" spans="1:19" s="1" customFormat="1" ht="12.75">
      <c r="A33" s="174" t="s">
        <v>39</v>
      </c>
      <c r="B33" s="170">
        <v>9</v>
      </c>
      <c r="C33" s="146">
        <f t="shared" si="0"/>
        <v>17.972279999999998</v>
      </c>
      <c r="D33" s="155">
        <v>0</v>
      </c>
      <c r="E33" s="148">
        <f t="shared" si="1"/>
        <v>0</v>
      </c>
      <c r="F33" s="149">
        <v>0</v>
      </c>
      <c r="G33" s="52">
        <f t="shared" si="2"/>
        <v>0</v>
      </c>
      <c r="H33" s="56"/>
      <c r="I33" s="52"/>
      <c r="J33" s="54">
        <f t="shared" si="3"/>
        <v>17.972279999999998</v>
      </c>
      <c r="K33" s="161">
        <f t="shared" si="4"/>
        <v>2.0777202312138727</v>
      </c>
      <c r="L33" s="161">
        <f t="shared" si="5"/>
        <v>2.3893782658959535</v>
      </c>
      <c r="M33" s="161">
        <f t="shared" si="6"/>
        <v>1.7660621965317918</v>
      </c>
      <c r="N33" s="162">
        <f t="shared" si="7"/>
        <v>2.0777202312138727</v>
      </c>
      <c r="O33" s="161">
        <f t="shared" si="8"/>
        <v>1.4544041618497108</v>
      </c>
      <c r="P33" s="52">
        <f t="shared" si="9"/>
        <v>2.0777202312138727</v>
      </c>
      <c r="Q33" s="163">
        <f t="shared" si="10"/>
        <v>1.662176184971098</v>
      </c>
      <c r="R33" s="164">
        <f t="shared" si="11"/>
        <v>2.181606242774566</v>
      </c>
      <c r="S33" s="157">
        <f t="shared" si="12"/>
        <v>2.181606242774566</v>
      </c>
    </row>
    <row r="34" spans="1:19" s="1" customFormat="1" ht="12.75">
      <c r="A34" s="174" t="s">
        <v>40</v>
      </c>
      <c r="B34" s="170">
        <v>10</v>
      </c>
      <c r="C34" s="146">
        <f t="shared" si="0"/>
        <v>19.9692</v>
      </c>
      <c r="D34" s="155">
        <v>6</v>
      </c>
      <c r="E34" s="148">
        <f t="shared" si="1"/>
        <v>11.981519999999998</v>
      </c>
      <c r="F34" s="149">
        <v>3</v>
      </c>
      <c r="G34" s="52">
        <f t="shared" si="2"/>
        <v>10.63992</v>
      </c>
      <c r="H34" s="56"/>
      <c r="I34" s="52"/>
      <c r="J34" s="54">
        <f t="shared" si="3"/>
        <v>42.59063999999999</v>
      </c>
      <c r="K34" s="161">
        <f t="shared" si="4"/>
        <v>4.923773410404623</v>
      </c>
      <c r="L34" s="161">
        <f t="shared" si="5"/>
        <v>5.662339421965317</v>
      </c>
      <c r="M34" s="161">
        <f t="shared" si="6"/>
        <v>4.18520739884393</v>
      </c>
      <c r="N34" s="162">
        <f t="shared" si="7"/>
        <v>4.923773410404623</v>
      </c>
      <c r="O34" s="161">
        <f t="shared" si="8"/>
        <v>3.446641387283236</v>
      </c>
      <c r="P34" s="52">
        <f t="shared" si="9"/>
        <v>4.923773410404623</v>
      </c>
      <c r="Q34" s="163">
        <f t="shared" si="10"/>
        <v>3.9390187283236986</v>
      </c>
      <c r="R34" s="164">
        <f t="shared" si="11"/>
        <v>5.169962080924854</v>
      </c>
      <c r="S34" s="157">
        <f t="shared" si="12"/>
        <v>5.169962080924854</v>
      </c>
    </row>
    <row r="35" spans="1:19" s="1" customFormat="1" ht="12.75">
      <c r="A35" s="174" t="s">
        <v>42</v>
      </c>
      <c r="B35" s="170">
        <v>7</v>
      </c>
      <c r="C35" s="146">
        <f t="shared" si="0"/>
        <v>13.978439999999999</v>
      </c>
      <c r="D35" s="155">
        <v>0</v>
      </c>
      <c r="E35" s="148">
        <f t="shared" si="1"/>
        <v>0</v>
      </c>
      <c r="F35" s="149">
        <v>0</v>
      </c>
      <c r="G35" s="52">
        <f>F35*20.62*172/1000</f>
        <v>0</v>
      </c>
      <c r="H35" s="56"/>
      <c r="I35" s="54"/>
      <c r="J35" s="54">
        <f t="shared" si="3"/>
        <v>13.978439999999999</v>
      </c>
      <c r="K35" s="161">
        <f t="shared" si="4"/>
        <v>1.6160046242774564</v>
      </c>
      <c r="L35" s="161">
        <f t="shared" si="5"/>
        <v>1.858405317919075</v>
      </c>
      <c r="M35" s="161">
        <f t="shared" si="6"/>
        <v>1.373603930635838</v>
      </c>
      <c r="N35" s="162">
        <f t="shared" si="7"/>
        <v>1.6160046242774564</v>
      </c>
      <c r="O35" s="161">
        <f t="shared" si="8"/>
        <v>1.1312032369942195</v>
      </c>
      <c r="P35" s="52">
        <f t="shared" si="9"/>
        <v>1.6160046242774564</v>
      </c>
      <c r="Q35" s="163">
        <f t="shared" si="10"/>
        <v>1.2928036994219652</v>
      </c>
      <c r="R35" s="164">
        <f t="shared" si="11"/>
        <v>1.6968048554913293</v>
      </c>
      <c r="S35" s="157">
        <f t="shared" si="12"/>
        <v>1.6968048554913293</v>
      </c>
    </row>
    <row r="36" spans="1:20" s="1" customFormat="1" ht="12.75">
      <c r="A36" s="175" t="s">
        <v>43</v>
      </c>
      <c r="B36" s="171">
        <f aca="true" t="shared" si="13" ref="B36:O36">SUM(B16:B35)</f>
        <v>796</v>
      </c>
      <c r="C36" s="83">
        <f t="shared" si="13"/>
        <v>1589.5483199999999</v>
      </c>
      <c r="D36" s="156">
        <f t="shared" si="13"/>
        <v>174</v>
      </c>
      <c r="E36" s="83">
        <f t="shared" si="13"/>
        <v>347.46408</v>
      </c>
      <c r="F36" s="156">
        <f t="shared" si="13"/>
        <v>199</v>
      </c>
      <c r="G36" s="83">
        <f t="shared" si="13"/>
        <v>705.7813599999998</v>
      </c>
      <c r="H36" s="61">
        <f t="shared" si="13"/>
        <v>75</v>
      </c>
      <c r="I36" s="63">
        <f t="shared" si="13"/>
        <v>265.998</v>
      </c>
      <c r="J36" s="63">
        <f t="shared" si="13"/>
        <v>2908.791759999999</v>
      </c>
      <c r="K36" s="63">
        <f t="shared" si="13"/>
        <v>336.2765040462428</v>
      </c>
      <c r="L36" s="63">
        <f t="shared" si="13"/>
        <v>386.7179796531792</v>
      </c>
      <c r="M36" s="63">
        <f t="shared" si="13"/>
        <v>285.83502843930637</v>
      </c>
      <c r="N36" s="88">
        <f t="shared" si="13"/>
        <v>336.2765040462428</v>
      </c>
      <c r="O36" s="68">
        <f t="shared" si="13"/>
        <v>235.3935528323699</v>
      </c>
      <c r="P36" s="63">
        <f>SUM(P16:P35)</f>
        <v>336.2765040462428</v>
      </c>
      <c r="Q36" s="63">
        <f>SUM(Q16:Q35)</f>
        <v>269.0212032369941</v>
      </c>
      <c r="R36" s="88">
        <f>SUM(R16:R35)</f>
        <v>353.09032924855484</v>
      </c>
      <c r="S36" s="158">
        <f>SUM(S16:S35)</f>
        <v>353.09032924855484</v>
      </c>
      <c r="T36" s="13"/>
    </row>
    <row r="37" spans="1:19" s="1" customFormat="1" ht="12.75">
      <c r="A37" s="65"/>
      <c r="B37" s="172"/>
      <c r="C37" s="68"/>
      <c r="D37" s="67"/>
      <c r="E37" s="68"/>
      <c r="F37" s="68"/>
      <c r="G37" s="68"/>
      <c r="H37" s="69"/>
      <c r="I37" s="68"/>
      <c r="J37" s="68"/>
      <c r="K37" s="84"/>
      <c r="L37" s="84"/>
      <c r="M37" s="84"/>
      <c r="N37" s="90"/>
      <c r="O37" s="84"/>
      <c r="P37" s="84"/>
      <c r="Q37" s="84"/>
      <c r="R37" s="90"/>
      <c r="S37" s="19"/>
    </row>
    <row r="38" spans="1:19" s="1" customFormat="1" ht="28.5" customHeight="1">
      <c r="A38" t="s">
        <v>72</v>
      </c>
      <c r="B38"/>
      <c r="C38"/>
      <c r="D38"/>
      <c r="E38"/>
      <c r="F38"/>
      <c r="G38"/>
      <c r="H38"/>
      <c r="I38" t="s">
        <v>116</v>
      </c>
      <c r="J38"/>
      <c r="K38"/>
      <c r="L38"/>
      <c r="M38"/>
      <c r="N38"/>
      <c r="O38"/>
      <c r="P38"/>
      <c r="Q38"/>
      <c r="R38"/>
      <c r="S38"/>
    </row>
    <row r="39" spans="1:19" s="1" customFormat="1" ht="22.5" customHeight="1">
      <c r="A39" t="s">
        <v>115</v>
      </c>
      <c r="B39"/>
      <c r="C39"/>
      <c r="D39"/>
      <c r="E39"/>
      <c r="F39"/>
      <c r="G39"/>
      <c r="H39"/>
      <c r="I39" t="s">
        <v>117</v>
      </c>
      <c r="J39"/>
      <c r="K39"/>
      <c r="L39"/>
      <c r="M39"/>
      <c r="N39"/>
      <c r="O39"/>
      <c r="P39"/>
      <c r="Q39"/>
      <c r="R39"/>
      <c r="S39"/>
    </row>
    <row r="40" spans="1:9" ht="23.25" customHeight="1">
      <c r="A40" t="s">
        <v>86</v>
      </c>
      <c r="I40" t="s">
        <v>146</v>
      </c>
    </row>
    <row r="42" ht="12.75">
      <c r="A42" t="s">
        <v>150</v>
      </c>
    </row>
  </sheetData>
  <sheetProtection/>
  <mergeCells count="19">
    <mergeCell ref="S9:S15"/>
    <mergeCell ref="B9:B15"/>
    <mergeCell ref="A9:A15"/>
    <mergeCell ref="C9:C15"/>
    <mergeCell ref="D9:D15"/>
    <mergeCell ref="E9:E15"/>
    <mergeCell ref="F9:F15"/>
    <mergeCell ref="K9:K15"/>
    <mergeCell ref="L9:L15"/>
    <mergeCell ref="M9:M15"/>
    <mergeCell ref="G9:G15"/>
    <mergeCell ref="H9:H15"/>
    <mergeCell ref="I9:I15"/>
    <mergeCell ref="J9:J15"/>
    <mergeCell ref="Q9:Q15"/>
    <mergeCell ref="R9:R15"/>
    <mergeCell ref="N9:N15"/>
    <mergeCell ref="O9:O15"/>
    <mergeCell ref="P9:P15"/>
  </mergeCells>
  <printOptions/>
  <pageMargins left="0.7086614173228347" right="0.7086614173228347" top="0.35433070866141736" bottom="0.7480314960629921" header="0.31496062992125984" footer="0.31496062992125984"/>
  <pageSetup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9"/>
  <sheetViews>
    <sheetView view="pageBreakPreview" zoomScale="110" zoomScaleSheetLayoutView="110" zoomScalePageLayoutView="0" workbookViewId="0" topLeftCell="A19">
      <selection activeCell="A49" sqref="A49"/>
    </sheetView>
  </sheetViews>
  <sheetFormatPr defaultColWidth="9.140625" defaultRowHeight="12.75"/>
  <cols>
    <col min="1" max="1" width="30.8515625" style="176" customWidth="1"/>
    <col min="2" max="2" width="8.7109375" style="176" customWidth="1"/>
    <col min="3" max="3" width="8.57421875" style="176" customWidth="1"/>
    <col min="4" max="4" width="9.00390625" style="176" customWidth="1"/>
    <col min="5" max="5" width="11.8515625" style="176" customWidth="1"/>
    <col min="6" max="6" width="7.7109375" style="176" customWidth="1"/>
    <col min="7" max="7" width="10.140625" style="176" customWidth="1"/>
    <col min="8" max="8" width="5.57421875" style="176" customWidth="1"/>
    <col min="9" max="9" width="8.57421875" style="176" customWidth="1"/>
    <col min="10" max="10" width="7.28125" style="176" customWidth="1"/>
    <col min="11" max="11" width="6.7109375" style="176" customWidth="1"/>
    <col min="12" max="12" width="7.140625" style="176" customWidth="1"/>
    <col min="13" max="13" width="6.57421875" style="176" customWidth="1"/>
    <col min="14" max="14" width="7.57421875" style="176" customWidth="1"/>
    <col min="15" max="15" width="6.7109375" style="176" customWidth="1"/>
    <col min="16" max="17" width="6.57421875" style="176" customWidth="1"/>
    <col min="18" max="18" width="7.00390625" style="176" customWidth="1"/>
    <col min="19" max="19" width="6.8515625" style="176" customWidth="1"/>
    <col min="20" max="16384" width="9.140625" style="176" customWidth="1"/>
  </cols>
  <sheetData>
    <row r="1" spans="8:19" ht="18.75">
      <c r="H1" s="177"/>
      <c r="N1" s="284" t="s">
        <v>152</v>
      </c>
      <c r="O1" s="284"/>
      <c r="P1" s="284"/>
      <c r="Q1" s="284"/>
      <c r="R1" s="284"/>
      <c r="S1" s="284"/>
    </row>
    <row r="2" spans="8:19" ht="18.75">
      <c r="H2" s="177"/>
      <c r="N2" s="284" t="s">
        <v>186</v>
      </c>
      <c r="O2" s="284"/>
      <c r="P2" s="284"/>
      <c r="Q2" s="284"/>
      <c r="R2" s="284"/>
      <c r="S2" s="284"/>
    </row>
    <row r="3" spans="8:19" ht="18.75">
      <c r="H3" s="177"/>
      <c r="M3" s="284" t="s">
        <v>187</v>
      </c>
      <c r="N3" s="284"/>
      <c r="O3" s="284"/>
      <c r="P3" s="284"/>
      <c r="Q3" s="284"/>
      <c r="R3" s="284"/>
      <c r="S3" s="284"/>
    </row>
    <row r="4" spans="4:19" ht="18">
      <c r="D4" s="177"/>
      <c r="E4" s="177"/>
      <c r="F4" s="177"/>
      <c r="G4" s="177"/>
      <c r="H4" s="177"/>
      <c r="M4" s="298" t="s">
        <v>185</v>
      </c>
      <c r="N4" s="298"/>
      <c r="O4" s="298"/>
      <c r="P4" s="298"/>
      <c r="Q4" s="298"/>
      <c r="R4" s="298"/>
      <c r="S4" s="298"/>
    </row>
    <row r="6" spans="1:19" s="177" customFormat="1" ht="12.75">
      <c r="A6" s="178"/>
      <c r="B6" s="179"/>
      <c r="C6" s="176"/>
      <c r="D6" s="176"/>
      <c r="E6" s="176"/>
      <c r="F6" s="176"/>
      <c r="G6" s="176"/>
      <c r="H6" s="176"/>
      <c r="I6" s="176"/>
      <c r="J6" s="176"/>
      <c r="K6" s="176"/>
      <c r="P6" s="176"/>
      <c r="Q6" s="176"/>
      <c r="R6" s="176"/>
      <c r="S6" s="176"/>
    </row>
    <row r="7" spans="1:19" ht="12.75">
      <c r="A7" s="285" t="s">
        <v>66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</row>
    <row r="8" spans="1:19" ht="12.75">
      <c r="A8" s="285" t="s">
        <v>153</v>
      </c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</row>
    <row r="9" spans="1:19" ht="12.75">
      <c r="A9" s="216"/>
      <c r="B9" s="216"/>
      <c r="C9" s="216"/>
      <c r="D9" s="216"/>
      <c r="E9" s="216"/>
      <c r="F9" s="216"/>
      <c r="G9" s="216"/>
      <c r="H9" s="216"/>
      <c r="I9" s="216"/>
      <c r="K9" s="177"/>
      <c r="L9" s="177"/>
      <c r="M9" s="177"/>
      <c r="N9" s="177"/>
      <c r="O9" s="177"/>
      <c r="P9" s="177"/>
      <c r="Q9" s="177"/>
      <c r="R9" s="177"/>
      <c r="S9" s="177"/>
    </row>
    <row r="10" spans="11:19" ht="12.75">
      <c r="K10" s="177"/>
      <c r="L10" s="177"/>
      <c r="M10" s="177"/>
      <c r="N10" s="177"/>
      <c r="O10" s="177"/>
      <c r="P10" s="177"/>
      <c r="Q10" s="177"/>
      <c r="R10" s="177"/>
      <c r="S10" s="177"/>
    </row>
    <row r="11" spans="1:19" ht="12.75" customHeight="1">
      <c r="A11" s="302" t="s">
        <v>137</v>
      </c>
      <c r="B11" s="292" t="s">
        <v>154</v>
      </c>
      <c r="C11" s="295" t="s">
        <v>167</v>
      </c>
      <c r="D11" s="286" t="s">
        <v>189</v>
      </c>
      <c r="E11" s="295" t="s">
        <v>190</v>
      </c>
      <c r="F11" s="299" t="s">
        <v>141</v>
      </c>
      <c r="G11" s="295" t="s">
        <v>166</v>
      </c>
      <c r="H11" s="305" t="s">
        <v>143</v>
      </c>
      <c r="I11" s="295" t="s">
        <v>165</v>
      </c>
      <c r="J11" s="308" t="s">
        <v>164</v>
      </c>
      <c r="K11" s="289" t="s">
        <v>155</v>
      </c>
      <c r="L11" s="289" t="s">
        <v>156</v>
      </c>
      <c r="M11" s="289" t="s">
        <v>157</v>
      </c>
      <c r="N11" s="289" t="s">
        <v>158</v>
      </c>
      <c r="O11" s="289" t="s">
        <v>159</v>
      </c>
      <c r="P11" s="289" t="s">
        <v>160</v>
      </c>
      <c r="Q11" s="289" t="s">
        <v>161</v>
      </c>
      <c r="R11" s="289" t="s">
        <v>162</v>
      </c>
      <c r="S11" s="289" t="s">
        <v>163</v>
      </c>
    </row>
    <row r="12" spans="1:19" ht="12.75">
      <c r="A12" s="303"/>
      <c r="B12" s="293"/>
      <c r="C12" s="296"/>
      <c r="D12" s="287"/>
      <c r="E12" s="296"/>
      <c r="F12" s="300"/>
      <c r="G12" s="296"/>
      <c r="H12" s="306"/>
      <c r="I12" s="296"/>
      <c r="J12" s="309"/>
      <c r="K12" s="290"/>
      <c r="L12" s="290"/>
      <c r="M12" s="290"/>
      <c r="N12" s="290"/>
      <c r="O12" s="290"/>
      <c r="P12" s="290"/>
      <c r="Q12" s="290"/>
      <c r="R12" s="290"/>
      <c r="S12" s="290"/>
    </row>
    <row r="13" spans="1:19" ht="12.75">
      <c r="A13" s="303"/>
      <c r="B13" s="293"/>
      <c r="C13" s="296"/>
      <c r="D13" s="287"/>
      <c r="E13" s="296"/>
      <c r="F13" s="300"/>
      <c r="G13" s="296"/>
      <c r="H13" s="306"/>
      <c r="I13" s="296"/>
      <c r="J13" s="309"/>
      <c r="K13" s="290"/>
      <c r="L13" s="290"/>
      <c r="M13" s="290"/>
      <c r="N13" s="290"/>
      <c r="O13" s="290"/>
      <c r="P13" s="290"/>
      <c r="Q13" s="290"/>
      <c r="R13" s="290"/>
      <c r="S13" s="290"/>
    </row>
    <row r="14" spans="1:19" ht="12.75">
      <c r="A14" s="303"/>
      <c r="B14" s="293"/>
      <c r="C14" s="296"/>
      <c r="D14" s="287"/>
      <c r="E14" s="296"/>
      <c r="F14" s="300"/>
      <c r="G14" s="296"/>
      <c r="H14" s="306"/>
      <c r="I14" s="296"/>
      <c r="J14" s="309"/>
      <c r="K14" s="290"/>
      <c r="L14" s="290"/>
      <c r="M14" s="290"/>
      <c r="N14" s="290"/>
      <c r="O14" s="290"/>
      <c r="P14" s="290"/>
      <c r="Q14" s="290"/>
      <c r="R14" s="290"/>
      <c r="S14" s="290"/>
    </row>
    <row r="15" spans="1:19" ht="12.75">
      <c r="A15" s="303"/>
      <c r="B15" s="293"/>
      <c r="C15" s="296"/>
      <c r="D15" s="287"/>
      <c r="E15" s="296"/>
      <c r="F15" s="300"/>
      <c r="G15" s="296"/>
      <c r="H15" s="306"/>
      <c r="I15" s="296"/>
      <c r="J15" s="309"/>
      <c r="K15" s="290"/>
      <c r="L15" s="290"/>
      <c r="M15" s="290"/>
      <c r="N15" s="290"/>
      <c r="O15" s="290"/>
      <c r="P15" s="290"/>
      <c r="Q15" s="290"/>
      <c r="R15" s="290"/>
      <c r="S15" s="290"/>
    </row>
    <row r="16" spans="1:19" ht="12.75">
      <c r="A16" s="303"/>
      <c r="B16" s="293"/>
      <c r="C16" s="296"/>
      <c r="D16" s="287"/>
      <c r="E16" s="296"/>
      <c r="F16" s="300"/>
      <c r="G16" s="296"/>
      <c r="H16" s="306"/>
      <c r="I16" s="296"/>
      <c r="J16" s="309"/>
      <c r="K16" s="290"/>
      <c r="L16" s="290"/>
      <c r="M16" s="290"/>
      <c r="N16" s="290"/>
      <c r="O16" s="290"/>
      <c r="P16" s="290"/>
      <c r="Q16" s="290"/>
      <c r="R16" s="290"/>
      <c r="S16" s="290"/>
    </row>
    <row r="17" spans="1:19" ht="24" customHeight="1">
      <c r="A17" s="304"/>
      <c r="B17" s="294"/>
      <c r="C17" s="297"/>
      <c r="D17" s="288"/>
      <c r="E17" s="297"/>
      <c r="F17" s="301"/>
      <c r="G17" s="297"/>
      <c r="H17" s="307"/>
      <c r="I17" s="297"/>
      <c r="J17" s="310"/>
      <c r="K17" s="291"/>
      <c r="L17" s="291"/>
      <c r="M17" s="291"/>
      <c r="N17" s="291"/>
      <c r="O17" s="291"/>
      <c r="P17" s="291"/>
      <c r="Q17" s="291"/>
      <c r="R17" s="291"/>
      <c r="S17" s="291"/>
    </row>
    <row r="18" spans="1:19" ht="12.75">
      <c r="A18" s="180" t="s">
        <v>168</v>
      </c>
      <c r="B18" s="181">
        <v>71</v>
      </c>
      <c r="C18" s="182">
        <f>B18*11.61*182/1000</f>
        <v>150.02442</v>
      </c>
      <c r="D18" s="183">
        <v>11</v>
      </c>
      <c r="E18" s="184">
        <f>D18*11.61*182/1000</f>
        <v>23.243219999999997</v>
      </c>
      <c r="F18" s="185">
        <v>12</v>
      </c>
      <c r="G18" s="186">
        <f>F18*20.62*182/1000</f>
        <v>45.03408</v>
      </c>
      <c r="H18" s="187"/>
      <c r="I18" s="188"/>
      <c r="J18" s="188">
        <f>C18+E18+G18+I18</f>
        <v>218.30172</v>
      </c>
      <c r="K18" s="189">
        <f>J18/182*17</f>
        <v>20.390819999999998</v>
      </c>
      <c r="L18" s="189">
        <f>J18/182*17</f>
        <v>20.390819999999998</v>
      </c>
      <c r="M18" s="189">
        <f>J18/182*22</f>
        <v>26.38812</v>
      </c>
      <c r="N18" s="190">
        <f>J18/182*20</f>
        <v>23.9892</v>
      </c>
      <c r="O18" s="189">
        <f>J18/182*20</f>
        <v>23.9892</v>
      </c>
      <c r="P18" s="186">
        <f>J18/182*21</f>
        <v>25.18866</v>
      </c>
      <c r="Q18" s="186">
        <f>J18/182*22</f>
        <v>26.38812</v>
      </c>
      <c r="R18" s="191">
        <f>J18/182*21</f>
        <v>25.18866</v>
      </c>
      <c r="S18" s="192">
        <f>J18/182*21</f>
        <v>25.18866</v>
      </c>
    </row>
    <row r="19" spans="1:29" ht="12.75">
      <c r="A19" s="144" t="s">
        <v>169</v>
      </c>
      <c r="B19" s="193">
        <v>32</v>
      </c>
      <c r="C19" s="182">
        <f aca="true" t="shared" si="0" ref="C19:C35">B19*11.61*182/1000</f>
        <v>67.61664</v>
      </c>
      <c r="D19" s="194">
        <v>13</v>
      </c>
      <c r="E19" s="184">
        <f aca="true" t="shared" si="1" ref="E19:E35">D19*11.61*182/1000</f>
        <v>27.469260000000002</v>
      </c>
      <c r="F19" s="185">
        <v>15</v>
      </c>
      <c r="G19" s="186">
        <f aca="true" t="shared" si="2" ref="G19:G35">F19*20.62*182/1000</f>
        <v>56.2926</v>
      </c>
      <c r="H19" s="195"/>
      <c r="I19" s="188"/>
      <c r="J19" s="188">
        <f>C19+E19+G19+I19</f>
        <v>151.3785</v>
      </c>
      <c r="K19" s="189">
        <f aca="true" t="shared" si="3" ref="K19:K35">J19/182*17</f>
        <v>14.13975</v>
      </c>
      <c r="L19" s="189">
        <f aca="true" t="shared" si="4" ref="L19:L35">J19/182*17</f>
        <v>14.13975</v>
      </c>
      <c r="M19" s="189">
        <f aca="true" t="shared" si="5" ref="M19:M35">J19/182*22</f>
        <v>18.2985</v>
      </c>
      <c r="N19" s="190">
        <f aca="true" t="shared" si="6" ref="N19:N35">J19/182*20</f>
        <v>16.634999999999998</v>
      </c>
      <c r="O19" s="189">
        <f aca="true" t="shared" si="7" ref="O19:O35">J19/182*20</f>
        <v>16.634999999999998</v>
      </c>
      <c r="P19" s="186">
        <f aca="true" t="shared" si="8" ref="P19:P35">J19/182*21</f>
        <v>17.46675</v>
      </c>
      <c r="Q19" s="186">
        <f aca="true" t="shared" si="9" ref="Q19:Q35">J19/182*22</f>
        <v>18.2985</v>
      </c>
      <c r="R19" s="191">
        <f aca="true" t="shared" si="10" ref="R19:R35">J19/182*21</f>
        <v>17.46675</v>
      </c>
      <c r="S19" s="192">
        <f aca="true" t="shared" si="11" ref="S19:S35">J19/182*21</f>
        <v>17.46675</v>
      </c>
      <c r="T19" s="177"/>
      <c r="U19" s="177"/>
      <c r="V19" s="177"/>
      <c r="W19" s="177"/>
      <c r="X19" s="177"/>
      <c r="Y19" s="177"/>
      <c r="Z19" s="177"/>
      <c r="AA19" s="177"/>
      <c r="AB19" s="177"/>
      <c r="AC19" s="177"/>
    </row>
    <row r="20" spans="1:19" s="177" customFormat="1" ht="12.75">
      <c r="A20" s="196" t="s">
        <v>170</v>
      </c>
      <c r="B20" s="181">
        <v>68</v>
      </c>
      <c r="C20" s="182">
        <f t="shared" si="0"/>
        <v>143.68536</v>
      </c>
      <c r="D20" s="197">
        <v>7</v>
      </c>
      <c r="E20" s="184">
        <f t="shared" si="1"/>
        <v>14.791139999999999</v>
      </c>
      <c r="F20" s="185">
        <v>10</v>
      </c>
      <c r="G20" s="186">
        <f t="shared" si="2"/>
        <v>37.528400000000005</v>
      </c>
      <c r="H20" s="198"/>
      <c r="I20" s="188"/>
      <c r="J20" s="188">
        <f aca="true" t="shared" si="12" ref="J20:J35">C20+E20+G20+I20</f>
        <v>196.0049</v>
      </c>
      <c r="K20" s="189">
        <f t="shared" si="3"/>
        <v>18.308149999999998</v>
      </c>
      <c r="L20" s="189">
        <f t="shared" si="4"/>
        <v>18.308149999999998</v>
      </c>
      <c r="M20" s="189">
        <f t="shared" si="5"/>
        <v>23.692899999999998</v>
      </c>
      <c r="N20" s="190">
        <f t="shared" si="6"/>
        <v>21.538999999999998</v>
      </c>
      <c r="O20" s="189">
        <f t="shared" si="7"/>
        <v>21.538999999999998</v>
      </c>
      <c r="P20" s="186">
        <f t="shared" si="8"/>
        <v>22.615949999999998</v>
      </c>
      <c r="Q20" s="186">
        <f t="shared" si="9"/>
        <v>23.692899999999998</v>
      </c>
      <c r="R20" s="191">
        <f t="shared" si="10"/>
        <v>22.615949999999998</v>
      </c>
      <c r="S20" s="192">
        <f t="shared" si="11"/>
        <v>22.615949999999998</v>
      </c>
    </row>
    <row r="21" spans="1:19" s="177" customFormat="1" ht="12.75">
      <c r="A21" s="144" t="s">
        <v>171</v>
      </c>
      <c r="B21" s="181">
        <v>18</v>
      </c>
      <c r="C21" s="182">
        <f t="shared" si="0"/>
        <v>38.03436</v>
      </c>
      <c r="D21" s="183">
        <v>4</v>
      </c>
      <c r="E21" s="184">
        <f t="shared" si="1"/>
        <v>8.45208</v>
      </c>
      <c r="F21" s="199">
        <v>3</v>
      </c>
      <c r="G21" s="186">
        <f t="shared" si="2"/>
        <v>11.25852</v>
      </c>
      <c r="H21" s="200"/>
      <c r="I21" s="201"/>
      <c r="J21" s="188">
        <f t="shared" si="12"/>
        <v>57.744960000000006</v>
      </c>
      <c r="K21" s="189">
        <f t="shared" si="3"/>
        <v>5.39376</v>
      </c>
      <c r="L21" s="189">
        <f t="shared" si="4"/>
        <v>5.39376</v>
      </c>
      <c r="M21" s="189">
        <f t="shared" si="5"/>
        <v>6.98016</v>
      </c>
      <c r="N21" s="190">
        <f t="shared" si="6"/>
        <v>6.3456</v>
      </c>
      <c r="O21" s="189">
        <f t="shared" si="7"/>
        <v>6.3456</v>
      </c>
      <c r="P21" s="186">
        <f t="shared" si="8"/>
        <v>6.66288</v>
      </c>
      <c r="Q21" s="186">
        <f t="shared" si="9"/>
        <v>6.98016</v>
      </c>
      <c r="R21" s="191">
        <f t="shared" si="10"/>
        <v>6.66288</v>
      </c>
      <c r="S21" s="192">
        <f t="shared" si="11"/>
        <v>6.66288</v>
      </c>
    </row>
    <row r="22" spans="1:19" s="177" customFormat="1" ht="12.75">
      <c r="A22" s="196" t="s">
        <v>172</v>
      </c>
      <c r="B22" s="181">
        <v>169</v>
      </c>
      <c r="C22" s="182">
        <f t="shared" si="0"/>
        <v>357.10038000000003</v>
      </c>
      <c r="D22" s="202">
        <v>40</v>
      </c>
      <c r="E22" s="184">
        <f t="shared" si="1"/>
        <v>84.52080000000001</v>
      </c>
      <c r="F22" s="185">
        <v>52</v>
      </c>
      <c r="G22" s="186">
        <f t="shared" si="2"/>
        <v>195.14767999999998</v>
      </c>
      <c r="H22" s="203">
        <v>50</v>
      </c>
      <c r="I22" s="186">
        <f>H22*20.62*182/1000</f>
        <v>187.642</v>
      </c>
      <c r="J22" s="188">
        <f>C22+E22+G22+I22</f>
        <v>824.41086</v>
      </c>
      <c r="K22" s="189">
        <f t="shared" si="3"/>
        <v>77.00541</v>
      </c>
      <c r="L22" s="189">
        <f t="shared" si="4"/>
        <v>77.00541</v>
      </c>
      <c r="M22" s="189">
        <f t="shared" si="5"/>
        <v>99.65406</v>
      </c>
      <c r="N22" s="190">
        <f t="shared" si="6"/>
        <v>90.5946</v>
      </c>
      <c r="O22" s="189">
        <f t="shared" si="7"/>
        <v>90.5946</v>
      </c>
      <c r="P22" s="186">
        <f t="shared" si="8"/>
        <v>95.12433</v>
      </c>
      <c r="Q22" s="186">
        <f t="shared" si="9"/>
        <v>99.65406</v>
      </c>
      <c r="R22" s="191">
        <f t="shared" si="10"/>
        <v>95.12433</v>
      </c>
      <c r="S22" s="192">
        <f t="shared" si="11"/>
        <v>95.12433</v>
      </c>
    </row>
    <row r="23" spans="1:19" s="177" customFormat="1" ht="12.75">
      <c r="A23" s="196" t="s">
        <v>188</v>
      </c>
      <c r="B23" s="181">
        <v>6</v>
      </c>
      <c r="C23" s="182">
        <f>B23*11.61*182/1000</f>
        <v>12.67812</v>
      </c>
      <c r="D23" s="202">
        <v>7</v>
      </c>
      <c r="E23" s="184">
        <f>D23*11.61*182/1000</f>
        <v>14.791139999999999</v>
      </c>
      <c r="F23" s="185">
        <v>2</v>
      </c>
      <c r="G23" s="186">
        <f>F23*20.62*182/1000</f>
        <v>7.50568</v>
      </c>
      <c r="H23" s="203"/>
      <c r="I23" s="186"/>
      <c r="J23" s="188">
        <f>C23+E23+G23+I23</f>
        <v>34.97494</v>
      </c>
      <c r="K23" s="189">
        <f>J23/182*17</f>
        <v>3.2668899999999996</v>
      </c>
      <c r="L23" s="189">
        <f>J23/182*17</f>
        <v>3.2668899999999996</v>
      </c>
      <c r="M23" s="189">
        <f>J23/182*22</f>
        <v>4.22774</v>
      </c>
      <c r="N23" s="190">
        <f>J23/182*20</f>
        <v>3.8433999999999995</v>
      </c>
      <c r="O23" s="189">
        <f>J23/182*20</f>
        <v>3.8433999999999995</v>
      </c>
      <c r="P23" s="186">
        <f>J23/182*21</f>
        <v>4.03557</v>
      </c>
      <c r="Q23" s="186">
        <f>J23/182*22</f>
        <v>4.22774</v>
      </c>
      <c r="R23" s="191">
        <f>J23/182*21</f>
        <v>4.03557</v>
      </c>
      <c r="S23" s="192">
        <f>J23/182*21</f>
        <v>4.03557</v>
      </c>
    </row>
    <row r="24" spans="1:19" s="177" customFormat="1" ht="12.75">
      <c r="A24" s="196" t="s">
        <v>173</v>
      </c>
      <c r="B24" s="181">
        <v>269</v>
      </c>
      <c r="C24" s="182">
        <f t="shared" si="0"/>
        <v>568.4023799999999</v>
      </c>
      <c r="D24" s="202">
        <v>51</v>
      </c>
      <c r="E24" s="184">
        <f t="shared" si="1"/>
        <v>107.76402</v>
      </c>
      <c r="F24" s="185">
        <v>37</v>
      </c>
      <c r="G24" s="186">
        <f t="shared" si="2"/>
        <v>138.85508000000002</v>
      </c>
      <c r="H24" s="203"/>
      <c r="I24" s="186"/>
      <c r="J24" s="188">
        <f t="shared" si="12"/>
        <v>815.0214799999999</v>
      </c>
      <c r="K24" s="189">
        <f t="shared" si="3"/>
        <v>76.12837999999999</v>
      </c>
      <c r="L24" s="189">
        <f t="shared" si="4"/>
        <v>76.12837999999999</v>
      </c>
      <c r="M24" s="189">
        <f t="shared" si="5"/>
        <v>98.51908</v>
      </c>
      <c r="N24" s="190">
        <f t="shared" si="6"/>
        <v>89.5628</v>
      </c>
      <c r="O24" s="189">
        <f t="shared" si="7"/>
        <v>89.5628</v>
      </c>
      <c r="P24" s="186">
        <f t="shared" si="8"/>
        <v>94.04093999999999</v>
      </c>
      <c r="Q24" s="186">
        <f t="shared" si="9"/>
        <v>98.51908</v>
      </c>
      <c r="R24" s="191">
        <f t="shared" si="10"/>
        <v>94.04093999999999</v>
      </c>
      <c r="S24" s="192">
        <f t="shared" si="11"/>
        <v>94.04093999999999</v>
      </c>
    </row>
    <row r="25" spans="1:19" s="177" customFormat="1" ht="12.75">
      <c r="A25" s="196" t="s">
        <v>174</v>
      </c>
      <c r="B25" s="181">
        <v>36</v>
      </c>
      <c r="C25" s="182">
        <f t="shared" si="0"/>
        <v>76.06872</v>
      </c>
      <c r="D25" s="202">
        <v>12</v>
      </c>
      <c r="E25" s="184">
        <f t="shared" si="1"/>
        <v>25.35624</v>
      </c>
      <c r="F25" s="185">
        <v>8</v>
      </c>
      <c r="G25" s="186">
        <f t="shared" si="2"/>
        <v>30.02272</v>
      </c>
      <c r="H25" s="203"/>
      <c r="I25" s="186">
        <f>H25*20.62*172/1000</f>
        <v>0</v>
      </c>
      <c r="J25" s="188">
        <f t="shared" si="12"/>
        <v>131.44768</v>
      </c>
      <c r="K25" s="189">
        <f t="shared" si="3"/>
        <v>12.27808</v>
      </c>
      <c r="L25" s="189">
        <f t="shared" si="4"/>
        <v>12.27808</v>
      </c>
      <c r="M25" s="189">
        <f t="shared" si="5"/>
        <v>15.88928</v>
      </c>
      <c r="N25" s="190">
        <f t="shared" si="6"/>
        <v>14.4448</v>
      </c>
      <c r="O25" s="189">
        <f t="shared" si="7"/>
        <v>14.4448</v>
      </c>
      <c r="P25" s="186">
        <f t="shared" si="8"/>
        <v>15.16704</v>
      </c>
      <c r="Q25" s="186">
        <f t="shared" si="9"/>
        <v>15.88928</v>
      </c>
      <c r="R25" s="191">
        <f t="shared" si="10"/>
        <v>15.16704</v>
      </c>
      <c r="S25" s="192">
        <f t="shared" si="11"/>
        <v>15.16704</v>
      </c>
    </row>
    <row r="26" spans="1:19" s="177" customFormat="1" ht="12.75">
      <c r="A26" s="196" t="s">
        <v>175</v>
      </c>
      <c r="B26" s="181">
        <v>48</v>
      </c>
      <c r="C26" s="182">
        <f t="shared" si="0"/>
        <v>101.42496</v>
      </c>
      <c r="D26" s="202">
        <v>22</v>
      </c>
      <c r="E26" s="184">
        <f t="shared" si="1"/>
        <v>46.486439999999995</v>
      </c>
      <c r="F26" s="185">
        <v>14</v>
      </c>
      <c r="G26" s="186">
        <f t="shared" si="2"/>
        <v>52.53976</v>
      </c>
      <c r="H26" s="203"/>
      <c r="I26" s="186"/>
      <c r="J26" s="188">
        <f t="shared" si="12"/>
        <v>200.45116</v>
      </c>
      <c r="K26" s="189">
        <f t="shared" si="3"/>
        <v>18.72346</v>
      </c>
      <c r="L26" s="189">
        <f t="shared" si="4"/>
        <v>18.72346</v>
      </c>
      <c r="M26" s="189">
        <f t="shared" si="5"/>
        <v>24.23036</v>
      </c>
      <c r="N26" s="190">
        <f t="shared" si="6"/>
        <v>22.0276</v>
      </c>
      <c r="O26" s="189">
        <f t="shared" si="7"/>
        <v>22.0276</v>
      </c>
      <c r="P26" s="186">
        <f t="shared" si="8"/>
        <v>23.128980000000002</v>
      </c>
      <c r="Q26" s="186">
        <f t="shared" si="9"/>
        <v>24.23036</v>
      </c>
      <c r="R26" s="191">
        <f t="shared" si="10"/>
        <v>23.128980000000002</v>
      </c>
      <c r="S26" s="192">
        <f t="shared" si="11"/>
        <v>23.128980000000002</v>
      </c>
    </row>
    <row r="27" spans="1:19" s="177" customFormat="1" ht="12.75">
      <c r="A27" s="196" t="s">
        <v>176</v>
      </c>
      <c r="B27" s="181">
        <v>22</v>
      </c>
      <c r="C27" s="182">
        <f t="shared" si="0"/>
        <v>46.486439999999995</v>
      </c>
      <c r="D27" s="202">
        <v>7</v>
      </c>
      <c r="E27" s="184">
        <f t="shared" si="1"/>
        <v>14.791139999999999</v>
      </c>
      <c r="F27" s="185">
        <v>12</v>
      </c>
      <c r="G27" s="186">
        <f t="shared" si="2"/>
        <v>45.03408</v>
      </c>
      <c r="H27" s="203"/>
      <c r="I27" s="186"/>
      <c r="J27" s="188">
        <f t="shared" si="12"/>
        <v>106.31165999999999</v>
      </c>
      <c r="K27" s="189">
        <f t="shared" si="3"/>
        <v>9.930209999999999</v>
      </c>
      <c r="L27" s="189">
        <f t="shared" si="4"/>
        <v>9.930209999999999</v>
      </c>
      <c r="M27" s="189">
        <f t="shared" si="5"/>
        <v>12.850859999999999</v>
      </c>
      <c r="N27" s="190">
        <f t="shared" si="6"/>
        <v>11.682599999999999</v>
      </c>
      <c r="O27" s="189">
        <f t="shared" si="7"/>
        <v>11.682599999999999</v>
      </c>
      <c r="P27" s="186">
        <f t="shared" si="8"/>
        <v>12.266729999999999</v>
      </c>
      <c r="Q27" s="186">
        <f t="shared" si="9"/>
        <v>12.850859999999999</v>
      </c>
      <c r="R27" s="191">
        <f t="shared" si="10"/>
        <v>12.266729999999999</v>
      </c>
      <c r="S27" s="192">
        <f t="shared" si="11"/>
        <v>12.266729999999999</v>
      </c>
    </row>
    <row r="28" spans="1:19" s="177" customFormat="1" ht="12.75">
      <c r="A28" s="196" t="s">
        <v>177</v>
      </c>
      <c r="B28" s="181">
        <v>12</v>
      </c>
      <c r="C28" s="182">
        <f t="shared" si="0"/>
        <v>25.35624</v>
      </c>
      <c r="D28" s="202">
        <v>5</v>
      </c>
      <c r="E28" s="184">
        <f t="shared" si="1"/>
        <v>10.565100000000001</v>
      </c>
      <c r="F28" s="185">
        <v>1</v>
      </c>
      <c r="G28" s="186">
        <f t="shared" si="2"/>
        <v>3.75284</v>
      </c>
      <c r="H28" s="203"/>
      <c r="I28" s="186"/>
      <c r="J28" s="188">
        <f t="shared" si="12"/>
        <v>39.67418</v>
      </c>
      <c r="K28" s="189">
        <f t="shared" si="3"/>
        <v>3.7058299999999997</v>
      </c>
      <c r="L28" s="189">
        <f t="shared" si="4"/>
        <v>3.7058299999999997</v>
      </c>
      <c r="M28" s="189">
        <f t="shared" si="5"/>
        <v>4.79578</v>
      </c>
      <c r="N28" s="190">
        <f t="shared" si="6"/>
        <v>4.3598</v>
      </c>
      <c r="O28" s="189">
        <f t="shared" si="7"/>
        <v>4.3598</v>
      </c>
      <c r="P28" s="186">
        <f t="shared" si="8"/>
        <v>4.577789999999999</v>
      </c>
      <c r="Q28" s="186">
        <f t="shared" si="9"/>
        <v>4.79578</v>
      </c>
      <c r="R28" s="191">
        <f t="shared" si="10"/>
        <v>4.577789999999999</v>
      </c>
      <c r="S28" s="192">
        <f t="shared" si="11"/>
        <v>4.577789999999999</v>
      </c>
    </row>
    <row r="29" spans="1:19" s="177" customFormat="1" ht="12.75">
      <c r="A29" s="196" t="s">
        <v>178</v>
      </c>
      <c r="B29" s="181">
        <v>24</v>
      </c>
      <c r="C29" s="182">
        <f t="shared" si="0"/>
        <v>50.71248</v>
      </c>
      <c r="D29" s="202">
        <v>1</v>
      </c>
      <c r="E29" s="184">
        <f t="shared" si="1"/>
        <v>2.11302</v>
      </c>
      <c r="F29" s="185">
        <v>2</v>
      </c>
      <c r="G29" s="186">
        <f t="shared" si="2"/>
        <v>7.50568</v>
      </c>
      <c r="H29" s="203"/>
      <c r="I29" s="186"/>
      <c r="J29" s="188">
        <f t="shared" si="12"/>
        <v>60.331179999999996</v>
      </c>
      <c r="K29" s="189">
        <f t="shared" si="3"/>
        <v>5.63533</v>
      </c>
      <c r="L29" s="189">
        <f t="shared" si="4"/>
        <v>5.63533</v>
      </c>
      <c r="M29" s="189">
        <f t="shared" si="5"/>
        <v>7.2927800000000005</v>
      </c>
      <c r="N29" s="190">
        <f t="shared" si="6"/>
        <v>6.6298</v>
      </c>
      <c r="O29" s="189">
        <f t="shared" si="7"/>
        <v>6.6298</v>
      </c>
      <c r="P29" s="186">
        <f t="shared" si="8"/>
        <v>6.96129</v>
      </c>
      <c r="Q29" s="186">
        <f t="shared" si="9"/>
        <v>7.2927800000000005</v>
      </c>
      <c r="R29" s="191">
        <f t="shared" si="10"/>
        <v>6.96129</v>
      </c>
      <c r="S29" s="192">
        <f t="shared" si="11"/>
        <v>6.96129</v>
      </c>
    </row>
    <row r="30" spans="1:19" s="177" customFormat="1" ht="12.75">
      <c r="A30" s="196" t="s">
        <v>179</v>
      </c>
      <c r="B30" s="181">
        <v>12</v>
      </c>
      <c r="C30" s="182">
        <f t="shared" si="0"/>
        <v>25.35624</v>
      </c>
      <c r="D30" s="202">
        <v>6</v>
      </c>
      <c r="E30" s="184">
        <f t="shared" si="1"/>
        <v>12.67812</v>
      </c>
      <c r="F30" s="185">
        <v>1</v>
      </c>
      <c r="G30" s="186">
        <f t="shared" si="2"/>
        <v>3.75284</v>
      </c>
      <c r="H30" s="203"/>
      <c r="I30" s="186"/>
      <c r="J30" s="188">
        <f t="shared" si="12"/>
        <v>41.7872</v>
      </c>
      <c r="K30" s="189">
        <f t="shared" si="3"/>
        <v>3.9032</v>
      </c>
      <c r="L30" s="189">
        <f t="shared" si="4"/>
        <v>3.9032</v>
      </c>
      <c r="M30" s="189">
        <f t="shared" si="5"/>
        <v>5.0512</v>
      </c>
      <c r="N30" s="190">
        <f t="shared" si="6"/>
        <v>4.592</v>
      </c>
      <c r="O30" s="189">
        <f t="shared" si="7"/>
        <v>4.592</v>
      </c>
      <c r="P30" s="186">
        <f t="shared" si="8"/>
        <v>4.8216</v>
      </c>
      <c r="Q30" s="186">
        <f t="shared" si="9"/>
        <v>5.0512</v>
      </c>
      <c r="R30" s="191">
        <f t="shared" si="10"/>
        <v>4.8216</v>
      </c>
      <c r="S30" s="192">
        <f t="shared" si="11"/>
        <v>4.8216</v>
      </c>
    </row>
    <row r="31" spans="1:19" s="177" customFormat="1" ht="12.75">
      <c r="A31" s="196" t="s">
        <v>180</v>
      </c>
      <c r="B31" s="181">
        <v>7</v>
      </c>
      <c r="C31" s="182">
        <f t="shared" si="0"/>
        <v>14.791139999999999</v>
      </c>
      <c r="D31" s="202">
        <v>3</v>
      </c>
      <c r="E31" s="184">
        <f t="shared" si="1"/>
        <v>6.33906</v>
      </c>
      <c r="F31" s="185">
        <v>3</v>
      </c>
      <c r="G31" s="186">
        <f t="shared" si="2"/>
        <v>11.25852</v>
      </c>
      <c r="H31" s="203"/>
      <c r="I31" s="186"/>
      <c r="J31" s="188">
        <f t="shared" si="12"/>
        <v>32.38872</v>
      </c>
      <c r="K31" s="189">
        <f t="shared" si="3"/>
        <v>3.0253200000000002</v>
      </c>
      <c r="L31" s="189">
        <f t="shared" si="4"/>
        <v>3.0253200000000002</v>
      </c>
      <c r="M31" s="189">
        <f t="shared" si="5"/>
        <v>3.91512</v>
      </c>
      <c r="N31" s="190">
        <f t="shared" si="6"/>
        <v>3.5592</v>
      </c>
      <c r="O31" s="189">
        <f t="shared" si="7"/>
        <v>3.5592</v>
      </c>
      <c r="P31" s="186">
        <f t="shared" si="8"/>
        <v>3.7371600000000003</v>
      </c>
      <c r="Q31" s="186">
        <f t="shared" si="9"/>
        <v>3.91512</v>
      </c>
      <c r="R31" s="191">
        <f t="shared" si="10"/>
        <v>3.7371600000000003</v>
      </c>
      <c r="S31" s="192">
        <f t="shared" si="11"/>
        <v>3.7371600000000003</v>
      </c>
    </row>
    <row r="32" spans="1:19" s="177" customFormat="1" ht="12.75">
      <c r="A32" s="196" t="s">
        <v>181</v>
      </c>
      <c r="B32" s="181">
        <v>40</v>
      </c>
      <c r="C32" s="182">
        <f t="shared" si="0"/>
        <v>84.52080000000001</v>
      </c>
      <c r="D32" s="202">
        <v>27</v>
      </c>
      <c r="E32" s="184">
        <f t="shared" si="1"/>
        <v>57.051539999999996</v>
      </c>
      <c r="F32" s="185">
        <v>6</v>
      </c>
      <c r="G32" s="186">
        <f t="shared" si="2"/>
        <v>22.51704</v>
      </c>
      <c r="H32" s="203"/>
      <c r="I32" s="186"/>
      <c r="J32" s="188">
        <f t="shared" si="12"/>
        <v>164.08938</v>
      </c>
      <c r="K32" s="189">
        <f t="shared" si="3"/>
        <v>15.32703</v>
      </c>
      <c r="L32" s="189">
        <f t="shared" si="4"/>
        <v>15.32703</v>
      </c>
      <c r="M32" s="189">
        <f t="shared" si="5"/>
        <v>19.83498</v>
      </c>
      <c r="N32" s="190">
        <f t="shared" si="6"/>
        <v>18.0318</v>
      </c>
      <c r="O32" s="189">
        <f t="shared" si="7"/>
        <v>18.0318</v>
      </c>
      <c r="P32" s="186">
        <f t="shared" si="8"/>
        <v>18.93339</v>
      </c>
      <c r="Q32" s="186">
        <f t="shared" si="9"/>
        <v>19.83498</v>
      </c>
      <c r="R32" s="191">
        <f t="shared" si="10"/>
        <v>18.93339</v>
      </c>
      <c r="S32" s="192">
        <f t="shared" si="11"/>
        <v>18.93339</v>
      </c>
    </row>
    <row r="33" spans="1:19" s="177" customFormat="1" ht="12.75">
      <c r="A33" s="196" t="s">
        <v>182</v>
      </c>
      <c r="B33" s="181">
        <v>20</v>
      </c>
      <c r="C33" s="182">
        <f t="shared" si="0"/>
        <v>42.260400000000004</v>
      </c>
      <c r="D33" s="202">
        <v>8</v>
      </c>
      <c r="E33" s="184">
        <f t="shared" si="1"/>
        <v>16.90416</v>
      </c>
      <c r="F33" s="185">
        <v>1</v>
      </c>
      <c r="G33" s="186">
        <f t="shared" si="2"/>
        <v>3.75284</v>
      </c>
      <c r="H33" s="203"/>
      <c r="I33" s="186"/>
      <c r="J33" s="188">
        <f t="shared" si="12"/>
        <v>62.91740000000001</v>
      </c>
      <c r="K33" s="189">
        <f t="shared" si="3"/>
        <v>5.876900000000001</v>
      </c>
      <c r="L33" s="189">
        <f t="shared" si="4"/>
        <v>5.876900000000001</v>
      </c>
      <c r="M33" s="189">
        <f t="shared" si="5"/>
        <v>7.605400000000001</v>
      </c>
      <c r="N33" s="190">
        <f t="shared" si="6"/>
        <v>6.9140000000000015</v>
      </c>
      <c r="O33" s="189">
        <f t="shared" si="7"/>
        <v>6.9140000000000015</v>
      </c>
      <c r="P33" s="186">
        <f t="shared" si="8"/>
        <v>7.259700000000001</v>
      </c>
      <c r="Q33" s="186">
        <f t="shared" si="9"/>
        <v>7.605400000000001</v>
      </c>
      <c r="R33" s="191">
        <f t="shared" si="10"/>
        <v>7.259700000000001</v>
      </c>
      <c r="S33" s="192">
        <f t="shared" si="11"/>
        <v>7.259700000000001</v>
      </c>
    </row>
    <row r="34" spans="1:19" s="177" customFormat="1" ht="12.75">
      <c r="A34" s="196" t="s">
        <v>183</v>
      </c>
      <c r="B34" s="181">
        <v>15</v>
      </c>
      <c r="C34" s="182">
        <f t="shared" si="0"/>
        <v>31.695299999999996</v>
      </c>
      <c r="D34" s="202">
        <v>2</v>
      </c>
      <c r="E34" s="184">
        <f t="shared" si="1"/>
        <v>4.22604</v>
      </c>
      <c r="F34" s="185">
        <v>1</v>
      </c>
      <c r="G34" s="186">
        <f t="shared" si="2"/>
        <v>3.75284</v>
      </c>
      <c r="H34" s="203"/>
      <c r="I34" s="186"/>
      <c r="J34" s="188">
        <f t="shared" si="12"/>
        <v>39.67417999999999</v>
      </c>
      <c r="K34" s="189">
        <f t="shared" si="3"/>
        <v>3.7058299999999993</v>
      </c>
      <c r="L34" s="189">
        <f t="shared" si="4"/>
        <v>3.7058299999999993</v>
      </c>
      <c r="M34" s="189">
        <f t="shared" si="5"/>
        <v>4.795779999999999</v>
      </c>
      <c r="N34" s="190">
        <f t="shared" si="6"/>
        <v>4.359799999999999</v>
      </c>
      <c r="O34" s="189">
        <f t="shared" si="7"/>
        <v>4.359799999999999</v>
      </c>
      <c r="P34" s="186">
        <f t="shared" si="8"/>
        <v>4.577789999999999</v>
      </c>
      <c r="Q34" s="186">
        <f t="shared" si="9"/>
        <v>4.795779999999999</v>
      </c>
      <c r="R34" s="191">
        <f t="shared" si="10"/>
        <v>4.577789999999999</v>
      </c>
      <c r="S34" s="192">
        <f t="shared" si="11"/>
        <v>4.577789999999999</v>
      </c>
    </row>
    <row r="35" spans="1:19" s="177" customFormat="1" ht="12.75">
      <c r="A35" s="196" t="s">
        <v>184</v>
      </c>
      <c r="B35" s="181">
        <v>15</v>
      </c>
      <c r="C35" s="182">
        <f t="shared" si="0"/>
        <v>31.695299999999996</v>
      </c>
      <c r="D35" s="202">
        <v>6</v>
      </c>
      <c r="E35" s="184">
        <f t="shared" si="1"/>
        <v>12.67812</v>
      </c>
      <c r="F35" s="185">
        <v>0</v>
      </c>
      <c r="G35" s="186">
        <f t="shared" si="2"/>
        <v>0</v>
      </c>
      <c r="H35" s="203"/>
      <c r="I35" s="186"/>
      <c r="J35" s="188">
        <f t="shared" si="12"/>
        <v>44.373419999999996</v>
      </c>
      <c r="K35" s="189">
        <f t="shared" si="3"/>
        <v>4.144769999999999</v>
      </c>
      <c r="L35" s="189">
        <f t="shared" si="4"/>
        <v>4.144769999999999</v>
      </c>
      <c r="M35" s="189">
        <f t="shared" si="5"/>
        <v>5.36382</v>
      </c>
      <c r="N35" s="190">
        <f t="shared" si="6"/>
        <v>4.876199999999999</v>
      </c>
      <c r="O35" s="189">
        <f t="shared" si="7"/>
        <v>4.876199999999999</v>
      </c>
      <c r="P35" s="186">
        <f t="shared" si="8"/>
        <v>5.12001</v>
      </c>
      <c r="Q35" s="186">
        <f t="shared" si="9"/>
        <v>5.36382</v>
      </c>
      <c r="R35" s="191">
        <f t="shared" si="10"/>
        <v>5.12001</v>
      </c>
      <c r="S35" s="192">
        <f t="shared" si="11"/>
        <v>5.12001</v>
      </c>
    </row>
    <row r="36" spans="1:20" s="178" customFormat="1" ht="12.75">
      <c r="A36" s="204" t="s">
        <v>43</v>
      </c>
      <c r="B36" s="213">
        <f>B18+B19+B20+B21+B22+B23+B24+B25+B26+B27+B28+B29+B30+B31+B32+B33+B34+B35</f>
        <v>884</v>
      </c>
      <c r="C36" s="215">
        <f aca="true" t="shared" si="13" ref="C36:I36">C18+C19+C20+C21+C22+C23+C24+C25+C26+C27+C28+C29+C30+C31+C32+C33+C34+C35</f>
        <v>1867.9096800000002</v>
      </c>
      <c r="D36" s="213">
        <f t="shared" si="13"/>
        <v>232</v>
      </c>
      <c r="E36" s="215">
        <f t="shared" si="13"/>
        <v>490.22064</v>
      </c>
      <c r="F36" s="213">
        <f t="shared" si="13"/>
        <v>180</v>
      </c>
      <c r="G36" s="215">
        <f t="shared" si="13"/>
        <v>675.5111999999999</v>
      </c>
      <c r="H36" s="213">
        <f t="shared" si="13"/>
        <v>50</v>
      </c>
      <c r="I36" s="215">
        <f t="shared" si="13"/>
        <v>187.642</v>
      </c>
      <c r="J36" s="205">
        <f>SUM(J18:J35)</f>
        <v>3221.2835199999995</v>
      </c>
      <c r="K36" s="205">
        <f>SUM(K18:K35)</f>
        <v>300.88911999999993</v>
      </c>
      <c r="L36" s="205">
        <f>SUM(L18:L35)</f>
        <v>300.88911999999993</v>
      </c>
      <c r="M36" s="205">
        <f aca="true" t="shared" si="14" ref="M36:S36">SUM(M18:M35)</f>
        <v>389.3859199999999</v>
      </c>
      <c r="N36" s="205">
        <f t="shared" si="14"/>
        <v>353.9871999999999</v>
      </c>
      <c r="O36" s="205">
        <f t="shared" si="14"/>
        <v>353.9871999999999</v>
      </c>
      <c r="P36" s="205">
        <f t="shared" si="14"/>
        <v>371.68656</v>
      </c>
      <c r="Q36" s="205">
        <f t="shared" si="14"/>
        <v>389.3859199999999</v>
      </c>
      <c r="R36" s="205">
        <f t="shared" si="14"/>
        <v>371.68656</v>
      </c>
      <c r="S36" s="205">
        <f t="shared" si="14"/>
        <v>371.68656</v>
      </c>
      <c r="T36" s="214"/>
    </row>
    <row r="37" spans="1:19" s="177" customFormat="1" ht="12.75">
      <c r="A37" s="207"/>
      <c r="B37" s="208"/>
      <c r="C37" s="206"/>
      <c r="D37" s="209"/>
      <c r="E37" s="206"/>
      <c r="F37" s="206"/>
      <c r="G37" s="206"/>
      <c r="H37" s="210"/>
      <c r="I37" s="206"/>
      <c r="J37" s="206"/>
      <c r="K37" s="211"/>
      <c r="L37" s="211"/>
      <c r="M37" s="211"/>
      <c r="N37" s="212"/>
      <c r="O37" s="211"/>
      <c r="P37" s="211"/>
      <c r="Q37" s="211"/>
      <c r="R37" s="212"/>
      <c r="S37" s="189"/>
    </row>
    <row r="38" spans="1:19" s="177" customFormat="1" ht="37.5" customHeight="1">
      <c r="A38" s="176"/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</row>
    <row r="39" spans="1:29" s="177" customFormat="1" ht="23.25" customHeight="1">
      <c r="A39" s="176"/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</row>
    <row r="40" ht="23.25" customHeight="1"/>
  </sheetData>
  <sheetProtection/>
  <mergeCells count="25">
    <mergeCell ref="N1:S1"/>
    <mergeCell ref="H11:H17"/>
    <mergeCell ref="I11:I17"/>
    <mergeCell ref="J11:J17"/>
    <mergeCell ref="K11:K17"/>
    <mergeCell ref="M4:S4"/>
    <mergeCell ref="S11:S17"/>
    <mergeCell ref="E11:E17"/>
    <mergeCell ref="F11:F17"/>
    <mergeCell ref="M11:M17"/>
    <mergeCell ref="A11:A17"/>
    <mergeCell ref="C11:C17"/>
    <mergeCell ref="Q11:Q17"/>
    <mergeCell ref="R11:R17"/>
    <mergeCell ref="P11:P17"/>
    <mergeCell ref="N2:S2"/>
    <mergeCell ref="M3:S3"/>
    <mergeCell ref="A7:S7"/>
    <mergeCell ref="A8:S8"/>
    <mergeCell ref="D11:D17"/>
    <mergeCell ref="L11:L17"/>
    <mergeCell ref="O11:O17"/>
    <mergeCell ref="B11:B17"/>
    <mergeCell ref="G11:G17"/>
    <mergeCell ref="N11:N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4">
      <selection activeCell="C21" sqref="C21"/>
    </sheetView>
  </sheetViews>
  <sheetFormatPr defaultColWidth="9.140625" defaultRowHeight="12.75"/>
  <cols>
    <col min="1" max="1" width="28.421875" style="0" customWidth="1"/>
    <col min="2" max="2" width="6.421875" style="0" customWidth="1"/>
    <col min="3" max="3" width="8.57421875" style="0" customWidth="1"/>
    <col min="4" max="4" width="7.7109375" style="0" customWidth="1"/>
    <col min="5" max="5" width="8.8515625" style="0" customWidth="1"/>
    <col min="6" max="6" width="7.140625" style="0" customWidth="1"/>
    <col min="7" max="7" width="8.57421875" style="0" customWidth="1"/>
    <col min="8" max="8" width="5.57421875" style="0" customWidth="1"/>
    <col min="9" max="9" width="8.57421875" style="0" customWidth="1"/>
    <col min="10" max="10" width="7.28125" style="0" customWidth="1"/>
    <col min="11" max="11" width="6.7109375" style="0" customWidth="1"/>
    <col min="12" max="12" width="7.140625" style="0" customWidth="1"/>
    <col min="13" max="13" width="6.57421875" style="0" customWidth="1"/>
    <col min="14" max="14" width="7.57421875" style="0" customWidth="1"/>
    <col min="15" max="15" width="6.7109375" style="0" customWidth="1"/>
    <col min="16" max="17" width="6.57421875" style="0" customWidth="1"/>
    <col min="18" max="18" width="7.00390625" style="0" customWidth="1"/>
    <col min="19" max="19" width="6.8515625" style="0" customWidth="1"/>
  </cols>
  <sheetData>
    <row r="1" ht="12.75">
      <c r="H1" s="1"/>
    </row>
    <row r="2" spans="4:8" ht="12.75">
      <c r="D2" s="1"/>
      <c r="E2" s="1"/>
      <c r="F2" s="1"/>
      <c r="G2" s="1"/>
      <c r="H2" s="1"/>
    </row>
    <row r="4" spans="1:19" s="1" customFormat="1" ht="12.75">
      <c r="A4" s="3"/>
      <c r="B4" s="22"/>
      <c r="C4"/>
      <c r="D4"/>
      <c r="E4"/>
      <c r="F4"/>
      <c r="G4"/>
      <c r="H4"/>
      <c r="I4"/>
      <c r="J4"/>
      <c r="K4"/>
      <c r="P4"/>
      <c r="Q4"/>
      <c r="R4"/>
      <c r="S4"/>
    </row>
    <row r="5" spans="2:19" ht="12.75">
      <c r="B5" t="s">
        <v>66</v>
      </c>
      <c r="P5" s="1"/>
      <c r="Q5" s="1"/>
      <c r="R5" s="1"/>
      <c r="S5" s="1"/>
    </row>
    <row r="6" spans="1:19" ht="12.75">
      <c r="A6" t="s">
        <v>107</v>
      </c>
      <c r="I6" t="s">
        <v>125</v>
      </c>
      <c r="P6" s="1"/>
      <c r="Q6" s="1"/>
      <c r="R6" s="1"/>
      <c r="S6" s="1"/>
    </row>
    <row r="7" spans="2:19" ht="12.75">
      <c r="B7" s="135"/>
      <c r="K7" s="1"/>
      <c r="L7" s="1"/>
      <c r="M7" s="1"/>
      <c r="N7" s="1"/>
      <c r="O7" s="1"/>
      <c r="P7" s="1"/>
      <c r="Q7" s="1"/>
      <c r="R7" s="1"/>
      <c r="S7" s="1"/>
    </row>
    <row r="8" spans="11:19" ht="12.75">
      <c r="K8" s="1"/>
      <c r="L8" s="1"/>
      <c r="M8" s="1"/>
      <c r="N8" s="1"/>
      <c r="O8" s="1"/>
      <c r="P8" s="1"/>
      <c r="Q8" s="1"/>
      <c r="R8" s="1"/>
      <c r="S8" s="1"/>
    </row>
    <row r="9" spans="1:19" ht="12.75">
      <c r="A9" s="29"/>
      <c r="B9" s="30" t="s">
        <v>0</v>
      </c>
      <c r="C9" s="14" t="s">
        <v>2</v>
      </c>
      <c r="D9" s="73" t="s">
        <v>0</v>
      </c>
      <c r="E9" s="131" t="s">
        <v>99</v>
      </c>
      <c r="F9" s="126" t="s">
        <v>0</v>
      </c>
      <c r="G9" s="14" t="s">
        <v>2</v>
      </c>
      <c r="H9" s="32" t="s">
        <v>0</v>
      </c>
      <c r="I9" s="4" t="s">
        <v>2</v>
      </c>
      <c r="J9" s="4"/>
      <c r="K9" s="64">
        <v>2012</v>
      </c>
      <c r="L9" s="64">
        <v>2012</v>
      </c>
      <c r="M9" s="64">
        <v>2012</v>
      </c>
      <c r="N9" s="64">
        <v>2012</v>
      </c>
      <c r="O9" s="64">
        <v>2012</v>
      </c>
      <c r="P9" s="64">
        <v>2012</v>
      </c>
      <c r="Q9" s="64">
        <v>2012</v>
      </c>
      <c r="R9" s="64">
        <v>2012</v>
      </c>
      <c r="S9" s="64">
        <v>2012</v>
      </c>
    </row>
    <row r="10" spans="1:19" ht="12.75">
      <c r="A10" s="34"/>
      <c r="B10" s="35" t="s">
        <v>4</v>
      </c>
      <c r="C10" s="6" t="s">
        <v>123</v>
      </c>
      <c r="D10" s="21" t="s">
        <v>57</v>
      </c>
      <c r="E10" s="6" t="s">
        <v>123</v>
      </c>
      <c r="F10" s="128" t="s">
        <v>91</v>
      </c>
      <c r="G10" s="6" t="s">
        <v>123</v>
      </c>
      <c r="H10" s="20" t="s">
        <v>4</v>
      </c>
      <c r="I10" s="6" t="s">
        <v>123</v>
      </c>
      <c r="J10" s="6" t="s">
        <v>5</v>
      </c>
      <c r="K10" s="17" t="s">
        <v>45</v>
      </c>
      <c r="L10" s="17" t="s">
        <v>54</v>
      </c>
      <c r="M10" s="17" t="s">
        <v>46</v>
      </c>
      <c r="N10" s="17" t="s">
        <v>47</v>
      </c>
      <c r="O10" s="21" t="s">
        <v>48</v>
      </c>
      <c r="P10" s="20" t="s">
        <v>6</v>
      </c>
      <c r="Q10" s="20" t="s">
        <v>7</v>
      </c>
      <c r="R10" s="37" t="s">
        <v>52</v>
      </c>
      <c r="S10" s="21" t="s">
        <v>8</v>
      </c>
    </row>
    <row r="11" spans="1:19" ht="12.75">
      <c r="A11" s="34" t="s">
        <v>9</v>
      </c>
      <c r="B11" s="35" t="s">
        <v>10</v>
      </c>
      <c r="C11" s="134" t="s">
        <v>103</v>
      </c>
      <c r="D11" s="21" t="s">
        <v>58</v>
      </c>
      <c r="E11" s="36" t="s">
        <v>103</v>
      </c>
      <c r="F11" s="128" t="s">
        <v>92</v>
      </c>
      <c r="G11" s="133" t="s">
        <v>124</v>
      </c>
      <c r="H11" s="20" t="s">
        <v>12</v>
      </c>
      <c r="I11" s="2" t="s">
        <v>105</v>
      </c>
      <c r="J11" s="42">
        <v>40787</v>
      </c>
      <c r="K11" s="17" t="s">
        <v>56</v>
      </c>
      <c r="L11" s="17" t="s">
        <v>55</v>
      </c>
      <c r="M11" s="17"/>
      <c r="N11" s="17" t="s">
        <v>53</v>
      </c>
      <c r="O11" s="17"/>
      <c r="P11" s="20" t="s">
        <v>15</v>
      </c>
      <c r="Q11" s="20" t="s">
        <v>15</v>
      </c>
      <c r="R11" s="37" t="s">
        <v>15</v>
      </c>
      <c r="S11" s="21" t="s">
        <v>15</v>
      </c>
    </row>
    <row r="12" spans="1:19" ht="12.75">
      <c r="A12" s="34"/>
      <c r="B12" s="35" t="s">
        <v>16</v>
      </c>
      <c r="C12" s="133" t="s">
        <v>96</v>
      </c>
      <c r="D12" s="85"/>
      <c r="E12" s="132" t="s">
        <v>96</v>
      </c>
      <c r="F12" s="129" t="s">
        <v>93</v>
      </c>
      <c r="G12" s="133" t="s">
        <v>96</v>
      </c>
      <c r="H12" s="44"/>
      <c r="I12" s="6" t="s">
        <v>96</v>
      </c>
      <c r="J12" s="42">
        <v>41030</v>
      </c>
      <c r="K12" s="17"/>
      <c r="L12" s="17"/>
      <c r="M12" s="17"/>
      <c r="N12" s="21"/>
      <c r="O12" s="17"/>
      <c r="P12" s="7"/>
      <c r="Q12" s="7"/>
      <c r="R12" s="15"/>
      <c r="S12" s="86"/>
    </row>
    <row r="13" spans="2:19" ht="12.75">
      <c r="B13" s="20">
        <v>2011</v>
      </c>
      <c r="C13" s="15" t="s">
        <v>4</v>
      </c>
      <c r="D13" s="21" t="s">
        <v>59</v>
      </c>
      <c r="E13" s="86" t="s">
        <v>89</v>
      </c>
      <c r="F13" s="128" t="s">
        <v>94</v>
      </c>
      <c r="G13" s="85" t="s">
        <v>92</v>
      </c>
      <c r="H13" s="20"/>
      <c r="I13" s="7" t="s">
        <v>4</v>
      </c>
      <c r="J13" s="6">
        <f>SUM(K13:S13)</f>
        <v>173</v>
      </c>
      <c r="K13" s="21">
        <v>15</v>
      </c>
      <c r="L13" s="143">
        <v>20</v>
      </c>
      <c r="M13" s="143">
        <v>15</v>
      </c>
      <c r="N13" s="143">
        <v>21</v>
      </c>
      <c r="O13" s="144">
        <v>21</v>
      </c>
      <c r="P13" s="20">
        <v>20</v>
      </c>
      <c r="Q13" s="20">
        <v>23</v>
      </c>
      <c r="R13" s="37">
        <v>17</v>
      </c>
      <c r="S13" s="21">
        <v>21</v>
      </c>
    </row>
    <row r="14" spans="2:19" ht="12.75">
      <c r="B14" s="40" t="s">
        <v>119</v>
      </c>
      <c r="C14" s="15" t="s">
        <v>102</v>
      </c>
      <c r="D14" s="45" t="s">
        <v>60</v>
      </c>
      <c r="E14" s="85" t="s">
        <v>90</v>
      </c>
      <c r="F14" s="86"/>
      <c r="G14" s="86" t="s">
        <v>97</v>
      </c>
      <c r="H14" s="20"/>
      <c r="I14" s="6" t="s">
        <v>106</v>
      </c>
      <c r="J14" s="6" t="s">
        <v>121</v>
      </c>
      <c r="K14" s="20" t="s">
        <v>49</v>
      </c>
      <c r="L14" s="20" t="s">
        <v>49</v>
      </c>
      <c r="M14" s="20" t="s">
        <v>49</v>
      </c>
      <c r="N14" s="20" t="s">
        <v>49</v>
      </c>
      <c r="O14" s="20" t="s">
        <v>49</v>
      </c>
      <c r="P14" s="20" t="s">
        <v>49</v>
      </c>
      <c r="Q14" s="20" t="s">
        <v>49</v>
      </c>
      <c r="R14" s="37" t="s">
        <v>49</v>
      </c>
      <c r="S14" s="21" t="s">
        <v>49</v>
      </c>
    </row>
    <row r="15" spans="1:19" ht="12.75">
      <c r="A15" s="34"/>
      <c r="B15" s="47" t="s">
        <v>120</v>
      </c>
      <c r="C15" s="133" t="s">
        <v>100</v>
      </c>
      <c r="D15" s="21" t="s">
        <v>61</v>
      </c>
      <c r="E15" s="85" t="s">
        <v>100</v>
      </c>
      <c r="F15" s="85"/>
      <c r="G15" s="85" t="s">
        <v>98</v>
      </c>
      <c r="H15" s="39"/>
      <c r="I15" s="6" t="s">
        <v>100</v>
      </c>
      <c r="J15" s="9" t="s">
        <v>100</v>
      </c>
      <c r="K15" s="48"/>
      <c r="L15" s="48"/>
      <c r="M15" s="48"/>
      <c r="N15" s="49"/>
      <c r="O15" s="49"/>
      <c r="P15" s="9"/>
      <c r="Q15" s="9"/>
      <c r="R15" s="16"/>
      <c r="S15" s="93"/>
    </row>
    <row r="16" spans="1:19" ht="12.75">
      <c r="A16" s="50" t="s">
        <v>21</v>
      </c>
      <c r="B16" s="145">
        <v>71</v>
      </c>
      <c r="C16" s="146">
        <f>B16*11.61*173/1000</f>
        <v>142.60563</v>
      </c>
      <c r="D16" s="147">
        <v>14</v>
      </c>
      <c r="E16" s="148">
        <f>D16*11.61*173/1000</f>
        <v>28.119419999999998</v>
      </c>
      <c r="F16" s="149">
        <v>16</v>
      </c>
      <c r="G16" s="52">
        <f>F16*20.62*173/1000</f>
        <v>57.07616</v>
      </c>
      <c r="H16" s="50"/>
      <c r="I16" s="54"/>
      <c r="J16" s="54">
        <f>C16+E16+G16+I16</f>
        <v>227.80120999999997</v>
      </c>
      <c r="K16" s="19">
        <f>J16/173*15</f>
        <v>19.751549999999998</v>
      </c>
      <c r="L16" s="19">
        <f>J16/173*20</f>
        <v>26.335399999999996</v>
      </c>
      <c r="M16" s="19">
        <f>J16/173*15</f>
        <v>19.751549999999998</v>
      </c>
      <c r="N16" s="89">
        <f>J16/173*21</f>
        <v>27.652169999999995</v>
      </c>
      <c r="O16" s="19">
        <f>J16/173*21</f>
        <v>27.652169999999995</v>
      </c>
      <c r="P16" s="52">
        <f>J16/173*20</f>
        <v>26.335399999999996</v>
      </c>
      <c r="Q16" s="52">
        <f>J16/173*23</f>
        <v>30.285709999999995</v>
      </c>
      <c r="R16" s="55">
        <f>J16/173*17</f>
        <v>22.385089999999995</v>
      </c>
      <c r="S16" s="157">
        <f>J16/173*21</f>
        <v>27.652169999999995</v>
      </c>
    </row>
    <row r="17" spans="1:19" ht="12.75">
      <c r="A17" s="39" t="s">
        <v>22</v>
      </c>
      <c r="B17" s="150">
        <v>46</v>
      </c>
      <c r="C17" s="146">
        <f aca="true" t="shared" si="0" ref="C17:C35">B17*11.61*173/1000</f>
        <v>92.39237999999999</v>
      </c>
      <c r="D17" s="151">
        <v>13</v>
      </c>
      <c r="E17" s="148">
        <f aca="true" t="shared" si="1" ref="E17:E35">D17*11.61*173/1000</f>
        <v>26.110889999999998</v>
      </c>
      <c r="F17" s="149">
        <v>12</v>
      </c>
      <c r="G17" s="52">
        <f aca="true" t="shared" si="2" ref="G17:G35">F17*20.62*173/1000</f>
        <v>42.807120000000005</v>
      </c>
      <c r="H17" s="39"/>
      <c r="I17" s="54"/>
      <c r="J17" s="54">
        <f aca="true" t="shared" si="3" ref="J17:J35">C17+E17+G17+I17</f>
        <v>161.31038999999998</v>
      </c>
      <c r="K17" s="19">
        <f aca="true" t="shared" si="4" ref="K17:K35">J17/173*15</f>
        <v>13.986449999999998</v>
      </c>
      <c r="L17" s="19">
        <f aca="true" t="shared" si="5" ref="L17:L35">J17/173*20</f>
        <v>18.6486</v>
      </c>
      <c r="M17" s="19">
        <f aca="true" t="shared" si="6" ref="M17:M35">J17/173*15</f>
        <v>13.986449999999998</v>
      </c>
      <c r="N17" s="89">
        <f aca="true" t="shared" si="7" ref="N17:N35">J17/173*21</f>
        <v>19.58103</v>
      </c>
      <c r="O17" s="19">
        <f aca="true" t="shared" si="8" ref="O17:O35">J17/173*21</f>
        <v>19.58103</v>
      </c>
      <c r="P17" s="52">
        <f aca="true" t="shared" si="9" ref="P17:P35">J17/173*20</f>
        <v>18.6486</v>
      </c>
      <c r="Q17" s="52">
        <f aca="true" t="shared" si="10" ref="Q17:Q35">J17/173*23</f>
        <v>21.44589</v>
      </c>
      <c r="R17" s="55">
        <f aca="true" t="shared" si="11" ref="R17:R35">J17/173*17</f>
        <v>15.851309999999998</v>
      </c>
      <c r="S17" s="157">
        <f aca="true" t="shared" si="12" ref="S17:S35">J17/173*21</f>
        <v>19.58103</v>
      </c>
    </row>
    <row r="18" spans="1:19" s="1" customFormat="1" ht="12.75">
      <c r="A18" s="50" t="s">
        <v>23</v>
      </c>
      <c r="B18" s="145">
        <v>56</v>
      </c>
      <c r="C18" s="146">
        <f t="shared" si="0"/>
        <v>112.47767999999999</v>
      </c>
      <c r="D18" s="152">
        <v>6</v>
      </c>
      <c r="E18" s="148">
        <f t="shared" si="1"/>
        <v>12.05118</v>
      </c>
      <c r="F18" s="149">
        <v>6</v>
      </c>
      <c r="G18" s="52">
        <f t="shared" si="2"/>
        <v>21.403560000000002</v>
      </c>
      <c r="H18" s="33"/>
      <c r="I18" s="54"/>
      <c r="J18" s="54">
        <f t="shared" si="3"/>
        <v>145.93242</v>
      </c>
      <c r="K18" s="19">
        <f t="shared" si="4"/>
        <v>12.6531</v>
      </c>
      <c r="L18" s="19">
        <f t="shared" si="5"/>
        <v>16.870800000000003</v>
      </c>
      <c r="M18" s="19">
        <f t="shared" si="6"/>
        <v>12.6531</v>
      </c>
      <c r="N18" s="89">
        <f t="shared" si="7"/>
        <v>17.71434</v>
      </c>
      <c r="O18" s="19">
        <f t="shared" si="8"/>
        <v>17.71434</v>
      </c>
      <c r="P18" s="52">
        <f t="shared" si="9"/>
        <v>16.870800000000003</v>
      </c>
      <c r="Q18" s="52">
        <f t="shared" si="10"/>
        <v>19.40142</v>
      </c>
      <c r="R18" s="55">
        <f t="shared" si="11"/>
        <v>14.340180000000002</v>
      </c>
      <c r="S18" s="157">
        <f t="shared" si="12"/>
        <v>17.71434</v>
      </c>
    </row>
    <row r="19" spans="1:19" s="1" customFormat="1" ht="12.75">
      <c r="A19" s="1" t="s">
        <v>24</v>
      </c>
      <c r="B19" s="145">
        <v>19</v>
      </c>
      <c r="C19" s="146">
        <f t="shared" si="0"/>
        <v>38.16206999999999</v>
      </c>
      <c r="D19" s="147">
        <v>8</v>
      </c>
      <c r="E19" s="148">
        <f t="shared" si="1"/>
        <v>16.06824</v>
      </c>
      <c r="F19" s="153">
        <v>9</v>
      </c>
      <c r="G19" s="52">
        <f t="shared" si="2"/>
        <v>32.105340000000005</v>
      </c>
      <c r="H19" s="18"/>
      <c r="I19" s="71"/>
      <c r="J19" s="54">
        <f t="shared" si="3"/>
        <v>86.33564999999999</v>
      </c>
      <c r="K19" s="19">
        <f t="shared" si="4"/>
        <v>7.4857499999999995</v>
      </c>
      <c r="L19" s="19">
        <f t="shared" si="5"/>
        <v>9.980999999999998</v>
      </c>
      <c r="M19" s="19">
        <f t="shared" si="6"/>
        <v>7.4857499999999995</v>
      </c>
      <c r="N19" s="89">
        <f t="shared" si="7"/>
        <v>10.480049999999999</v>
      </c>
      <c r="O19" s="19">
        <f t="shared" si="8"/>
        <v>10.480049999999999</v>
      </c>
      <c r="P19" s="52">
        <f t="shared" si="9"/>
        <v>9.980999999999998</v>
      </c>
      <c r="Q19" s="52">
        <f t="shared" si="10"/>
        <v>11.47815</v>
      </c>
      <c r="R19" s="55">
        <f t="shared" si="11"/>
        <v>8.483849999999999</v>
      </c>
      <c r="S19" s="157">
        <f t="shared" si="12"/>
        <v>10.480049999999999</v>
      </c>
    </row>
    <row r="20" spans="1:19" s="1" customFormat="1" ht="12.75">
      <c r="A20" s="50" t="s">
        <v>25</v>
      </c>
      <c r="B20" s="154">
        <v>158</v>
      </c>
      <c r="C20" s="146">
        <f t="shared" si="0"/>
        <v>317.34774</v>
      </c>
      <c r="D20" s="155">
        <v>31</v>
      </c>
      <c r="E20" s="148">
        <f t="shared" si="1"/>
        <v>62.26442999999999</v>
      </c>
      <c r="F20" s="149">
        <v>47</v>
      </c>
      <c r="G20" s="52">
        <f t="shared" si="2"/>
        <v>167.66122000000004</v>
      </c>
      <c r="H20" s="56">
        <v>50</v>
      </c>
      <c r="I20" s="52">
        <f>H20*20.62*173/1000</f>
        <v>178.363</v>
      </c>
      <c r="J20" s="54">
        <f t="shared" si="3"/>
        <v>725.6363900000001</v>
      </c>
      <c r="K20" s="19">
        <f t="shared" si="4"/>
        <v>62.91645000000001</v>
      </c>
      <c r="L20" s="19">
        <f t="shared" si="5"/>
        <v>83.88860000000001</v>
      </c>
      <c r="M20" s="19">
        <f t="shared" si="6"/>
        <v>62.91645000000001</v>
      </c>
      <c r="N20" s="89">
        <f t="shared" si="7"/>
        <v>88.08303000000001</v>
      </c>
      <c r="O20" s="19">
        <f t="shared" si="8"/>
        <v>88.08303000000001</v>
      </c>
      <c r="P20" s="52">
        <f t="shared" si="9"/>
        <v>83.88860000000001</v>
      </c>
      <c r="Q20" s="52">
        <f t="shared" si="10"/>
        <v>96.47189000000002</v>
      </c>
      <c r="R20" s="55">
        <f t="shared" si="11"/>
        <v>71.30531</v>
      </c>
      <c r="S20" s="157">
        <f t="shared" si="12"/>
        <v>88.08303000000001</v>
      </c>
    </row>
    <row r="21" spans="1:19" s="1" customFormat="1" ht="12.75">
      <c r="A21" s="50" t="s">
        <v>26</v>
      </c>
      <c r="B21" s="154">
        <v>176</v>
      </c>
      <c r="C21" s="146">
        <f t="shared" si="0"/>
        <v>353.50127999999995</v>
      </c>
      <c r="D21" s="155">
        <v>29</v>
      </c>
      <c r="E21" s="148">
        <f t="shared" si="1"/>
        <v>58.247370000000004</v>
      </c>
      <c r="F21" s="149">
        <v>33</v>
      </c>
      <c r="G21" s="52">
        <f t="shared" si="2"/>
        <v>117.71958000000001</v>
      </c>
      <c r="H21" s="56"/>
      <c r="I21" s="52"/>
      <c r="J21" s="54">
        <f t="shared" si="3"/>
        <v>529.46823</v>
      </c>
      <c r="K21" s="19">
        <f t="shared" si="4"/>
        <v>45.90765</v>
      </c>
      <c r="L21" s="19">
        <f t="shared" si="5"/>
        <v>61.2102</v>
      </c>
      <c r="M21" s="19">
        <f t="shared" si="6"/>
        <v>45.90765</v>
      </c>
      <c r="N21" s="89">
        <f t="shared" si="7"/>
        <v>64.27071</v>
      </c>
      <c r="O21" s="19">
        <f t="shared" si="8"/>
        <v>64.27071</v>
      </c>
      <c r="P21" s="52">
        <f t="shared" si="9"/>
        <v>61.2102</v>
      </c>
      <c r="Q21" s="52">
        <f t="shared" si="10"/>
        <v>70.39173</v>
      </c>
      <c r="R21" s="55">
        <f t="shared" si="11"/>
        <v>52.02867</v>
      </c>
      <c r="S21" s="157">
        <f t="shared" si="12"/>
        <v>64.27071</v>
      </c>
    </row>
    <row r="22" spans="1:19" s="1" customFormat="1" ht="12.75">
      <c r="A22" s="50" t="s">
        <v>27</v>
      </c>
      <c r="B22" s="154">
        <v>46</v>
      </c>
      <c r="C22" s="146">
        <f t="shared" si="0"/>
        <v>92.39237999999999</v>
      </c>
      <c r="D22" s="155">
        <v>15</v>
      </c>
      <c r="E22" s="148">
        <f t="shared" si="1"/>
        <v>30.12795</v>
      </c>
      <c r="F22" s="149">
        <v>9</v>
      </c>
      <c r="G22" s="52">
        <f t="shared" si="2"/>
        <v>32.105340000000005</v>
      </c>
      <c r="H22" s="56">
        <v>25</v>
      </c>
      <c r="I22" s="52">
        <f>H22*20.62*173/1000</f>
        <v>89.1815</v>
      </c>
      <c r="J22" s="54">
        <f t="shared" si="3"/>
        <v>243.80716999999999</v>
      </c>
      <c r="K22" s="19">
        <f t="shared" si="4"/>
        <v>21.13935</v>
      </c>
      <c r="L22" s="19">
        <f t="shared" si="5"/>
        <v>28.1858</v>
      </c>
      <c r="M22" s="19">
        <f t="shared" si="6"/>
        <v>21.13935</v>
      </c>
      <c r="N22" s="89">
        <f t="shared" si="7"/>
        <v>29.59509</v>
      </c>
      <c r="O22" s="19">
        <f t="shared" si="8"/>
        <v>29.59509</v>
      </c>
      <c r="P22" s="52">
        <f t="shared" si="9"/>
        <v>28.1858</v>
      </c>
      <c r="Q22" s="52">
        <f t="shared" si="10"/>
        <v>32.413669999999996</v>
      </c>
      <c r="R22" s="55">
        <f t="shared" si="11"/>
        <v>23.957929999999998</v>
      </c>
      <c r="S22" s="157">
        <f t="shared" si="12"/>
        <v>29.59509</v>
      </c>
    </row>
    <row r="23" spans="1:19" s="1" customFormat="1" ht="12.75">
      <c r="A23" s="50" t="s">
        <v>28</v>
      </c>
      <c r="B23" s="154">
        <v>41</v>
      </c>
      <c r="C23" s="146">
        <f t="shared" si="0"/>
        <v>82.34973</v>
      </c>
      <c r="D23" s="155">
        <v>8</v>
      </c>
      <c r="E23" s="148">
        <f t="shared" si="1"/>
        <v>16.06824</v>
      </c>
      <c r="F23" s="149">
        <v>12</v>
      </c>
      <c r="G23" s="52">
        <f t="shared" si="2"/>
        <v>42.807120000000005</v>
      </c>
      <c r="H23" s="56"/>
      <c r="I23" s="52"/>
      <c r="J23" s="54">
        <f t="shared" si="3"/>
        <v>141.22509</v>
      </c>
      <c r="K23" s="19">
        <f t="shared" si="4"/>
        <v>12.24495</v>
      </c>
      <c r="L23" s="19">
        <f t="shared" si="5"/>
        <v>16.3266</v>
      </c>
      <c r="M23" s="19">
        <f t="shared" si="6"/>
        <v>12.24495</v>
      </c>
      <c r="N23" s="89">
        <f t="shared" si="7"/>
        <v>17.14293</v>
      </c>
      <c r="O23" s="19">
        <f t="shared" si="8"/>
        <v>17.14293</v>
      </c>
      <c r="P23" s="52">
        <f t="shared" si="9"/>
        <v>16.3266</v>
      </c>
      <c r="Q23" s="52">
        <f t="shared" si="10"/>
        <v>18.77559</v>
      </c>
      <c r="R23" s="55">
        <f t="shared" si="11"/>
        <v>13.87761</v>
      </c>
      <c r="S23" s="157">
        <f t="shared" si="12"/>
        <v>17.14293</v>
      </c>
    </row>
    <row r="24" spans="1:19" s="1" customFormat="1" ht="12.75">
      <c r="A24" s="50" t="s">
        <v>29</v>
      </c>
      <c r="B24" s="154">
        <v>28</v>
      </c>
      <c r="C24" s="146">
        <f t="shared" si="0"/>
        <v>56.238839999999996</v>
      </c>
      <c r="D24" s="155">
        <v>9</v>
      </c>
      <c r="E24" s="148">
        <f t="shared" si="1"/>
        <v>18.07677</v>
      </c>
      <c r="F24" s="149">
        <v>7</v>
      </c>
      <c r="G24" s="52">
        <f t="shared" si="2"/>
        <v>24.97082</v>
      </c>
      <c r="H24" s="56"/>
      <c r="I24" s="52"/>
      <c r="J24" s="54">
        <f t="shared" si="3"/>
        <v>99.28643</v>
      </c>
      <c r="K24" s="19">
        <f t="shared" si="4"/>
        <v>8.608649999999999</v>
      </c>
      <c r="L24" s="19">
        <f t="shared" si="5"/>
        <v>11.478199999999998</v>
      </c>
      <c r="M24" s="19">
        <f t="shared" si="6"/>
        <v>8.608649999999999</v>
      </c>
      <c r="N24" s="89">
        <f t="shared" si="7"/>
        <v>12.052109999999999</v>
      </c>
      <c r="O24" s="19">
        <f t="shared" si="8"/>
        <v>12.052109999999999</v>
      </c>
      <c r="P24" s="52">
        <f t="shared" si="9"/>
        <v>11.478199999999998</v>
      </c>
      <c r="Q24" s="52">
        <f t="shared" si="10"/>
        <v>13.199929999999998</v>
      </c>
      <c r="R24" s="55">
        <f t="shared" si="11"/>
        <v>9.756469999999998</v>
      </c>
      <c r="S24" s="157">
        <f t="shared" si="12"/>
        <v>12.052109999999999</v>
      </c>
    </row>
    <row r="25" spans="1:19" s="1" customFormat="1" ht="12.75">
      <c r="A25" s="50" t="s">
        <v>31</v>
      </c>
      <c r="B25" s="154">
        <v>10</v>
      </c>
      <c r="C25" s="146">
        <f t="shared" si="0"/>
        <v>20.0853</v>
      </c>
      <c r="D25" s="155">
        <v>4</v>
      </c>
      <c r="E25" s="148">
        <f t="shared" si="1"/>
        <v>8.03412</v>
      </c>
      <c r="F25" s="149">
        <v>2</v>
      </c>
      <c r="G25" s="52">
        <f t="shared" si="2"/>
        <v>7.13452</v>
      </c>
      <c r="H25" s="56"/>
      <c r="I25" s="52"/>
      <c r="J25" s="54">
        <f t="shared" si="3"/>
        <v>35.25394</v>
      </c>
      <c r="K25" s="19">
        <f t="shared" si="4"/>
        <v>3.0566999999999998</v>
      </c>
      <c r="L25" s="19">
        <f t="shared" si="5"/>
        <v>4.0756</v>
      </c>
      <c r="M25" s="19">
        <f t="shared" si="6"/>
        <v>3.0566999999999998</v>
      </c>
      <c r="N25" s="89">
        <f t="shared" si="7"/>
        <v>4.27938</v>
      </c>
      <c r="O25" s="19">
        <f t="shared" si="8"/>
        <v>4.27938</v>
      </c>
      <c r="P25" s="52">
        <f t="shared" si="9"/>
        <v>4.0756</v>
      </c>
      <c r="Q25" s="52">
        <f t="shared" si="10"/>
        <v>4.68694</v>
      </c>
      <c r="R25" s="55">
        <f t="shared" si="11"/>
        <v>3.46426</v>
      </c>
      <c r="S25" s="157">
        <f t="shared" si="12"/>
        <v>4.27938</v>
      </c>
    </row>
    <row r="26" spans="1:19" s="1" customFormat="1" ht="12.75">
      <c r="A26" s="50" t="s">
        <v>32</v>
      </c>
      <c r="B26" s="154">
        <v>20</v>
      </c>
      <c r="C26" s="146">
        <f t="shared" si="0"/>
        <v>40.1706</v>
      </c>
      <c r="D26" s="155">
        <v>1</v>
      </c>
      <c r="E26" s="148">
        <f t="shared" si="1"/>
        <v>2.00853</v>
      </c>
      <c r="F26" s="149">
        <v>2</v>
      </c>
      <c r="G26" s="52">
        <f t="shared" si="2"/>
        <v>7.13452</v>
      </c>
      <c r="H26" s="56"/>
      <c r="I26" s="52"/>
      <c r="J26" s="54">
        <f t="shared" si="3"/>
        <v>49.31365</v>
      </c>
      <c r="K26" s="19">
        <f t="shared" si="4"/>
        <v>4.27575</v>
      </c>
      <c r="L26" s="19">
        <f t="shared" si="5"/>
        <v>5.7010000000000005</v>
      </c>
      <c r="M26" s="19">
        <f t="shared" si="6"/>
        <v>4.27575</v>
      </c>
      <c r="N26" s="89">
        <f t="shared" si="7"/>
        <v>5.9860500000000005</v>
      </c>
      <c r="O26" s="19">
        <f t="shared" si="8"/>
        <v>5.9860500000000005</v>
      </c>
      <c r="P26" s="52">
        <f t="shared" si="9"/>
        <v>5.7010000000000005</v>
      </c>
      <c r="Q26" s="52">
        <f t="shared" si="10"/>
        <v>6.556150000000001</v>
      </c>
      <c r="R26" s="55">
        <f t="shared" si="11"/>
        <v>4.84585</v>
      </c>
      <c r="S26" s="157">
        <f t="shared" si="12"/>
        <v>5.9860500000000005</v>
      </c>
    </row>
    <row r="27" spans="1:19" s="1" customFormat="1" ht="12.75">
      <c r="A27" s="50" t="s">
        <v>33</v>
      </c>
      <c r="B27" s="154">
        <v>17</v>
      </c>
      <c r="C27" s="146">
        <f t="shared" si="0"/>
        <v>34.14501</v>
      </c>
      <c r="D27" s="155">
        <v>7</v>
      </c>
      <c r="E27" s="148">
        <f t="shared" si="1"/>
        <v>14.059709999999999</v>
      </c>
      <c r="F27" s="149">
        <v>1</v>
      </c>
      <c r="G27" s="52">
        <f t="shared" si="2"/>
        <v>3.56726</v>
      </c>
      <c r="H27" s="56"/>
      <c r="I27" s="52"/>
      <c r="J27" s="54">
        <f t="shared" si="3"/>
        <v>51.77197999999999</v>
      </c>
      <c r="K27" s="19">
        <f t="shared" si="4"/>
        <v>4.488899999999999</v>
      </c>
      <c r="L27" s="19">
        <f t="shared" si="5"/>
        <v>5.985199999999999</v>
      </c>
      <c r="M27" s="19">
        <f t="shared" si="6"/>
        <v>4.488899999999999</v>
      </c>
      <c r="N27" s="89">
        <f t="shared" si="7"/>
        <v>6.284459999999999</v>
      </c>
      <c r="O27" s="19">
        <f t="shared" si="8"/>
        <v>6.284459999999999</v>
      </c>
      <c r="P27" s="52">
        <f t="shared" si="9"/>
        <v>5.985199999999999</v>
      </c>
      <c r="Q27" s="52">
        <f t="shared" si="10"/>
        <v>6.882979999999999</v>
      </c>
      <c r="R27" s="55">
        <f t="shared" si="11"/>
        <v>5.08742</v>
      </c>
      <c r="S27" s="157">
        <f t="shared" si="12"/>
        <v>6.284459999999999</v>
      </c>
    </row>
    <row r="28" spans="1:19" s="1" customFormat="1" ht="12.75">
      <c r="A28" s="50" t="s">
        <v>34</v>
      </c>
      <c r="B28" s="154">
        <v>9</v>
      </c>
      <c r="C28" s="146">
        <f t="shared" si="0"/>
        <v>18.07677</v>
      </c>
      <c r="D28" s="155">
        <v>10</v>
      </c>
      <c r="E28" s="148">
        <f t="shared" si="1"/>
        <v>20.0853</v>
      </c>
      <c r="F28" s="149">
        <v>1</v>
      </c>
      <c r="G28" s="52">
        <f t="shared" si="2"/>
        <v>3.56726</v>
      </c>
      <c r="H28" s="56"/>
      <c r="I28" s="52"/>
      <c r="J28" s="54">
        <f t="shared" si="3"/>
        <v>41.72933</v>
      </c>
      <c r="K28" s="19">
        <f t="shared" si="4"/>
        <v>3.6181499999999995</v>
      </c>
      <c r="L28" s="19">
        <f t="shared" si="5"/>
        <v>4.824199999999999</v>
      </c>
      <c r="M28" s="19">
        <f t="shared" si="6"/>
        <v>3.6181499999999995</v>
      </c>
      <c r="N28" s="89">
        <f t="shared" si="7"/>
        <v>5.06541</v>
      </c>
      <c r="O28" s="19">
        <f t="shared" si="8"/>
        <v>5.06541</v>
      </c>
      <c r="P28" s="52">
        <f t="shared" si="9"/>
        <v>4.824199999999999</v>
      </c>
      <c r="Q28" s="52">
        <f t="shared" si="10"/>
        <v>5.547829999999999</v>
      </c>
      <c r="R28" s="55">
        <f t="shared" si="11"/>
        <v>4.100569999999999</v>
      </c>
      <c r="S28" s="157">
        <f t="shared" si="12"/>
        <v>5.06541</v>
      </c>
    </row>
    <row r="29" spans="1:19" s="1" customFormat="1" ht="12.75">
      <c r="A29" s="50" t="s">
        <v>35</v>
      </c>
      <c r="B29" s="154">
        <v>4</v>
      </c>
      <c r="C29" s="146">
        <f t="shared" si="0"/>
        <v>8.03412</v>
      </c>
      <c r="D29" s="155">
        <v>0</v>
      </c>
      <c r="E29" s="148">
        <f t="shared" si="1"/>
        <v>0</v>
      </c>
      <c r="F29" s="149">
        <v>1</v>
      </c>
      <c r="G29" s="52">
        <f t="shared" si="2"/>
        <v>3.56726</v>
      </c>
      <c r="H29" s="56"/>
      <c r="I29" s="52"/>
      <c r="J29" s="54">
        <f t="shared" si="3"/>
        <v>11.601379999999999</v>
      </c>
      <c r="K29" s="19">
        <f t="shared" si="4"/>
        <v>1.0059</v>
      </c>
      <c r="L29" s="19">
        <f t="shared" si="5"/>
        <v>1.3412</v>
      </c>
      <c r="M29" s="19">
        <f t="shared" si="6"/>
        <v>1.0059</v>
      </c>
      <c r="N29" s="89">
        <f t="shared" si="7"/>
        <v>1.4082599999999998</v>
      </c>
      <c r="O29" s="19">
        <f t="shared" si="8"/>
        <v>1.4082599999999998</v>
      </c>
      <c r="P29" s="52">
        <f t="shared" si="9"/>
        <v>1.3412</v>
      </c>
      <c r="Q29" s="52">
        <f t="shared" si="10"/>
        <v>1.5423799999999999</v>
      </c>
      <c r="R29" s="55">
        <f t="shared" si="11"/>
        <v>1.1400199999999998</v>
      </c>
      <c r="S29" s="157">
        <f t="shared" si="12"/>
        <v>1.4082599999999998</v>
      </c>
    </row>
    <row r="30" spans="1:19" s="1" customFormat="1" ht="12.75">
      <c r="A30" s="50" t="s">
        <v>36</v>
      </c>
      <c r="B30" s="154">
        <v>13</v>
      </c>
      <c r="C30" s="146">
        <f t="shared" si="0"/>
        <v>26.110889999999998</v>
      </c>
      <c r="D30" s="155">
        <v>6</v>
      </c>
      <c r="E30" s="148">
        <f t="shared" si="1"/>
        <v>12.05118</v>
      </c>
      <c r="F30" s="149">
        <v>1</v>
      </c>
      <c r="G30" s="52">
        <f t="shared" si="2"/>
        <v>3.56726</v>
      </c>
      <c r="H30" s="56"/>
      <c r="I30" s="52"/>
      <c r="J30" s="54">
        <f t="shared" si="3"/>
        <v>41.72933</v>
      </c>
      <c r="K30" s="19">
        <f t="shared" si="4"/>
        <v>3.6181499999999995</v>
      </c>
      <c r="L30" s="19">
        <f t="shared" si="5"/>
        <v>4.824199999999999</v>
      </c>
      <c r="M30" s="19">
        <f t="shared" si="6"/>
        <v>3.6181499999999995</v>
      </c>
      <c r="N30" s="89">
        <f t="shared" si="7"/>
        <v>5.06541</v>
      </c>
      <c r="O30" s="19">
        <f t="shared" si="8"/>
        <v>5.06541</v>
      </c>
      <c r="P30" s="52">
        <f t="shared" si="9"/>
        <v>4.824199999999999</v>
      </c>
      <c r="Q30" s="52">
        <f t="shared" si="10"/>
        <v>5.547829999999999</v>
      </c>
      <c r="R30" s="55">
        <f t="shared" si="11"/>
        <v>4.100569999999999</v>
      </c>
      <c r="S30" s="157">
        <f t="shared" si="12"/>
        <v>5.06541</v>
      </c>
    </row>
    <row r="31" spans="1:19" s="1" customFormat="1" ht="12.75">
      <c r="A31" s="50" t="s">
        <v>37</v>
      </c>
      <c r="B31" s="154">
        <v>42</v>
      </c>
      <c r="C31" s="146">
        <f t="shared" si="0"/>
        <v>84.35826</v>
      </c>
      <c r="D31" s="155">
        <v>27</v>
      </c>
      <c r="E31" s="148">
        <f t="shared" si="1"/>
        <v>54.230309999999996</v>
      </c>
      <c r="F31" s="149">
        <v>2</v>
      </c>
      <c r="G31" s="52">
        <f t="shared" si="2"/>
        <v>7.13452</v>
      </c>
      <c r="H31" s="56"/>
      <c r="I31" s="52"/>
      <c r="J31" s="54">
        <f t="shared" si="3"/>
        <v>145.72309</v>
      </c>
      <c r="K31" s="19">
        <f t="shared" si="4"/>
        <v>12.63495</v>
      </c>
      <c r="L31" s="19">
        <f t="shared" si="5"/>
        <v>16.846600000000002</v>
      </c>
      <c r="M31" s="19">
        <f t="shared" si="6"/>
        <v>12.63495</v>
      </c>
      <c r="N31" s="89">
        <f t="shared" si="7"/>
        <v>17.68893</v>
      </c>
      <c r="O31" s="19">
        <f t="shared" si="8"/>
        <v>17.68893</v>
      </c>
      <c r="P31" s="52">
        <f t="shared" si="9"/>
        <v>16.846600000000002</v>
      </c>
      <c r="Q31" s="52">
        <f t="shared" si="10"/>
        <v>19.37359</v>
      </c>
      <c r="R31" s="55">
        <f t="shared" si="11"/>
        <v>14.31961</v>
      </c>
      <c r="S31" s="157">
        <f t="shared" si="12"/>
        <v>17.68893</v>
      </c>
    </row>
    <row r="32" spans="1:19" s="1" customFormat="1" ht="12.75">
      <c r="A32" s="50" t="s">
        <v>38</v>
      </c>
      <c r="B32" s="154">
        <v>17</v>
      </c>
      <c r="C32" s="146">
        <f t="shared" si="0"/>
        <v>34.14501</v>
      </c>
      <c r="D32" s="155">
        <v>4</v>
      </c>
      <c r="E32" s="148">
        <f t="shared" si="1"/>
        <v>8.03412</v>
      </c>
      <c r="F32" s="149">
        <v>2</v>
      </c>
      <c r="G32" s="52">
        <f t="shared" si="2"/>
        <v>7.13452</v>
      </c>
      <c r="H32" s="56"/>
      <c r="I32" s="52"/>
      <c r="J32" s="54">
        <f t="shared" si="3"/>
        <v>49.31365</v>
      </c>
      <c r="K32" s="19">
        <f t="shared" si="4"/>
        <v>4.27575</v>
      </c>
      <c r="L32" s="19">
        <f t="shared" si="5"/>
        <v>5.7010000000000005</v>
      </c>
      <c r="M32" s="19">
        <f t="shared" si="6"/>
        <v>4.27575</v>
      </c>
      <c r="N32" s="89">
        <f t="shared" si="7"/>
        <v>5.9860500000000005</v>
      </c>
      <c r="O32" s="19">
        <f t="shared" si="8"/>
        <v>5.9860500000000005</v>
      </c>
      <c r="P32" s="52">
        <f t="shared" si="9"/>
        <v>5.7010000000000005</v>
      </c>
      <c r="Q32" s="52">
        <f t="shared" si="10"/>
        <v>6.556150000000001</v>
      </c>
      <c r="R32" s="55">
        <f t="shared" si="11"/>
        <v>4.84585</v>
      </c>
      <c r="S32" s="157">
        <f t="shared" si="12"/>
        <v>5.9860500000000005</v>
      </c>
    </row>
    <row r="33" spans="1:19" s="1" customFormat="1" ht="12.75">
      <c r="A33" s="50" t="s">
        <v>39</v>
      </c>
      <c r="B33" s="154">
        <v>10</v>
      </c>
      <c r="C33" s="146">
        <f t="shared" si="0"/>
        <v>20.0853</v>
      </c>
      <c r="D33" s="155">
        <v>0</v>
      </c>
      <c r="E33" s="148">
        <f t="shared" si="1"/>
        <v>0</v>
      </c>
      <c r="F33" s="149">
        <v>2</v>
      </c>
      <c r="G33" s="52">
        <f t="shared" si="2"/>
        <v>7.13452</v>
      </c>
      <c r="H33" s="56"/>
      <c r="I33" s="52"/>
      <c r="J33" s="54">
        <f t="shared" si="3"/>
        <v>27.21982</v>
      </c>
      <c r="K33" s="19">
        <f t="shared" si="4"/>
        <v>2.3600999999999996</v>
      </c>
      <c r="L33" s="19">
        <f t="shared" si="5"/>
        <v>3.1468</v>
      </c>
      <c r="M33" s="19">
        <f t="shared" si="6"/>
        <v>2.3600999999999996</v>
      </c>
      <c r="N33" s="89">
        <f t="shared" si="7"/>
        <v>3.3041399999999994</v>
      </c>
      <c r="O33" s="19">
        <f t="shared" si="8"/>
        <v>3.3041399999999994</v>
      </c>
      <c r="P33" s="52">
        <f t="shared" si="9"/>
        <v>3.1468</v>
      </c>
      <c r="Q33" s="52">
        <f t="shared" si="10"/>
        <v>3.6188199999999995</v>
      </c>
      <c r="R33" s="55">
        <f t="shared" si="11"/>
        <v>2.6747799999999997</v>
      </c>
      <c r="S33" s="157">
        <f t="shared" si="12"/>
        <v>3.3041399999999994</v>
      </c>
    </row>
    <row r="34" spans="1:19" s="1" customFormat="1" ht="12.75">
      <c r="A34" s="50" t="s">
        <v>40</v>
      </c>
      <c r="B34" s="154">
        <v>7</v>
      </c>
      <c r="C34" s="146">
        <f t="shared" si="0"/>
        <v>14.059709999999999</v>
      </c>
      <c r="D34" s="155">
        <v>2</v>
      </c>
      <c r="E34" s="148">
        <f t="shared" si="1"/>
        <v>4.01706</v>
      </c>
      <c r="F34" s="149">
        <v>2</v>
      </c>
      <c r="G34" s="52">
        <f t="shared" si="2"/>
        <v>7.13452</v>
      </c>
      <c r="H34" s="56"/>
      <c r="I34" s="52"/>
      <c r="J34" s="54">
        <f t="shared" si="3"/>
        <v>25.211289999999998</v>
      </c>
      <c r="K34" s="19">
        <f t="shared" si="4"/>
        <v>2.18595</v>
      </c>
      <c r="L34" s="19">
        <f t="shared" si="5"/>
        <v>2.9146</v>
      </c>
      <c r="M34" s="19">
        <f t="shared" si="6"/>
        <v>2.18595</v>
      </c>
      <c r="N34" s="89">
        <f t="shared" si="7"/>
        <v>3.06033</v>
      </c>
      <c r="O34" s="19">
        <f t="shared" si="8"/>
        <v>3.06033</v>
      </c>
      <c r="P34" s="52">
        <f t="shared" si="9"/>
        <v>2.9146</v>
      </c>
      <c r="Q34" s="52">
        <f t="shared" si="10"/>
        <v>3.35179</v>
      </c>
      <c r="R34" s="55">
        <f t="shared" si="11"/>
        <v>2.47741</v>
      </c>
      <c r="S34" s="157">
        <f t="shared" si="12"/>
        <v>3.06033</v>
      </c>
    </row>
    <row r="35" spans="1:19" s="1" customFormat="1" ht="12.75">
      <c r="A35" s="50" t="s">
        <v>42</v>
      </c>
      <c r="B35" s="154">
        <v>11</v>
      </c>
      <c r="C35" s="146">
        <f t="shared" si="0"/>
        <v>22.093829999999997</v>
      </c>
      <c r="D35" s="155">
        <v>0</v>
      </c>
      <c r="E35" s="148">
        <f t="shared" si="1"/>
        <v>0</v>
      </c>
      <c r="F35" s="149">
        <v>0</v>
      </c>
      <c r="G35" s="52">
        <f t="shared" si="2"/>
        <v>0</v>
      </c>
      <c r="H35" s="56"/>
      <c r="I35" s="54"/>
      <c r="J35" s="54">
        <f t="shared" si="3"/>
        <v>22.093829999999997</v>
      </c>
      <c r="K35" s="19">
        <f t="shared" si="4"/>
        <v>1.9156499999999999</v>
      </c>
      <c r="L35" s="19">
        <f t="shared" si="5"/>
        <v>2.5542</v>
      </c>
      <c r="M35" s="19">
        <f t="shared" si="6"/>
        <v>1.9156499999999999</v>
      </c>
      <c r="N35" s="89">
        <f t="shared" si="7"/>
        <v>2.68191</v>
      </c>
      <c r="O35" s="19">
        <f t="shared" si="8"/>
        <v>2.68191</v>
      </c>
      <c r="P35" s="52">
        <f t="shared" si="9"/>
        <v>2.5542</v>
      </c>
      <c r="Q35" s="52">
        <f t="shared" si="10"/>
        <v>2.9373299999999998</v>
      </c>
      <c r="R35" s="55">
        <f t="shared" si="11"/>
        <v>2.17107</v>
      </c>
      <c r="S35" s="157">
        <f t="shared" si="12"/>
        <v>2.68191</v>
      </c>
    </row>
    <row r="36" spans="1:20" s="1" customFormat="1" ht="12.75">
      <c r="A36" s="59" t="s">
        <v>43</v>
      </c>
      <c r="B36" s="156">
        <f aca="true" t="shared" si="13" ref="B36:O36">SUM(B16:B35)</f>
        <v>801</v>
      </c>
      <c r="C36" s="83">
        <f t="shared" si="13"/>
        <v>1608.8325299999995</v>
      </c>
      <c r="D36" s="156">
        <f t="shared" si="13"/>
        <v>194</v>
      </c>
      <c r="E36" s="83">
        <f t="shared" si="13"/>
        <v>389.6548199999999</v>
      </c>
      <c r="F36" s="156">
        <f t="shared" si="13"/>
        <v>167</v>
      </c>
      <c r="G36" s="83">
        <f t="shared" si="13"/>
        <v>595.7324199999999</v>
      </c>
      <c r="H36" s="61">
        <f t="shared" si="13"/>
        <v>75</v>
      </c>
      <c r="I36" s="63">
        <f t="shared" si="13"/>
        <v>267.54449999999997</v>
      </c>
      <c r="J36" s="63">
        <f t="shared" si="13"/>
        <v>2861.76427</v>
      </c>
      <c r="K36" s="63">
        <f t="shared" si="13"/>
        <v>248.12984999999995</v>
      </c>
      <c r="L36" s="63">
        <f t="shared" si="13"/>
        <v>330.83980000000014</v>
      </c>
      <c r="M36" s="63">
        <f t="shared" si="13"/>
        <v>248.12984999999995</v>
      </c>
      <c r="N36" s="88">
        <f t="shared" si="13"/>
        <v>347.38178999999997</v>
      </c>
      <c r="O36" s="68">
        <f t="shared" si="13"/>
        <v>347.38178999999997</v>
      </c>
      <c r="P36" s="63">
        <f>SUM(P16:P35)</f>
        <v>330.83980000000014</v>
      </c>
      <c r="Q36" s="63">
        <f>SUM(Q16:Q35)</f>
        <v>380.46576999999985</v>
      </c>
      <c r="R36" s="88">
        <f>SUM(R16:R35)</f>
        <v>281.21383000000003</v>
      </c>
      <c r="S36" s="158">
        <f>SUM(S16:S35)</f>
        <v>347.38178999999997</v>
      </c>
      <c r="T36" s="13"/>
    </row>
    <row r="37" spans="1:19" s="1" customFormat="1" ht="12.75">
      <c r="A37" s="65"/>
      <c r="B37" s="82"/>
      <c r="C37" s="68"/>
      <c r="D37" s="67"/>
      <c r="E37" s="68"/>
      <c r="F37" s="68"/>
      <c r="G37" s="68"/>
      <c r="H37" s="69"/>
      <c r="I37" s="68"/>
      <c r="J37" s="68"/>
      <c r="K37" s="84"/>
      <c r="L37" s="84"/>
      <c r="M37" s="84"/>
      <c r="N37" s="90"/>
      <c r="O37" s="84"/>
      <c r="P37" s="84"/>
      <c r="Q37" s="84"/>
      <c r="R37" s="90"/>
      <c r="S37" s="19"/>
    </row>
    <row r="38" spans="1:19" s="1" customFormat="1" ht="28.5" customHeight="1">
      <c r="A38" t="s">
        <v>72</v>
      </c>
      <c r="B38"/>
      <c r="C38"/>
      <c r="D38"/>
      <c r="E38"/>
      <c r="F38"/>
      <c r="G38"/>
      <c r="H38"/>
      <c r="I38" t="s">
        <v>116</v>
      </c>
      <c r="J38"/>
      <c r="K38"/>
      <c r="L38"/>
      <c r="M38"/>
      <c r="N38"/>
      <c r="O38"/>
      <c r="P38"/>
      <c r="Q38"/>
      <c r="R38"/>
      <c r="S38"/>
    </row>
    <row r="39" spans="1:19" s="1" customFormat="1" ht="22.5" customHeight="1">
      <c r="A39" t="s">
        <v>115</v>
      </c>
      <c r="B39"/>
      <c r="C39"/>
      <c r="D39"/>
      <c r="E39"/>
      <c r="F39"/>
      <c r="G39"/>
      <c r="H39"/>
      <c r="I39" t="s">
        <v>117</v>
      </c>
      <c r="J39"/>
      <c r="K39"/>
      <c r="L39"/>
      <c r="M39"/>
      <c r="N39"/>
      <c r="O39"/>
      <c r="P39"/>
      <c r="Q39"/>
      <c r="R39"/>
      <c r="S39"/>
    </row>
    <row r="40" spans="1:9" ht="23.25" customHeight="1">
      <c r="A40" t="s">
        <v>86</v>
      </c>
      <c r="I40" t="s">
        <v>88</v>
      </c>
    </row>
    <row r="42" ht="12.75">
      <c r="A42" t="s">
        <v>126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26.8515625" style="0" customWidth="1"/>
    <col min="2" max="2" width="6.421875" style="0" customWidth="1"/>
    <col min="3" max="3" width="8.57421875" style="0" customWidth="1"/>
    <col min="4" max="4" width="7.7109375" style="0" customWidth="1"/>
    <col min="5" max="5" width="8.8515625" style="0" customWidth="1"/>
    <col min="6" max="6" width="7.140625" style="0" customWidth="1"/>
    <col min="7" max="7" width="8.57421875" style="0" customWidth="1"/>
    <col min="8" max="8" width="6.421875" style="0" customWidth="1"/>
    <col min="9" max="9" width="8.57421875" style="0" customWidth="1"/>
    <col min="10" max="10" width="7.28125" style="0" customWidth="1"/>
    <col min="11" max="11" width="6.7109375" style="0" customWidth="1"/>
    <col min="12" max="12" width="7.140625" style="0" customWidth="1"/>
    <col min="13" max="13" width="6.57421875" style="0" customWidth="1"/>
    <col min="14" max="14" width="7.57421875" style="0" customWidth="1"/>
    <col min="15" max="15" width="6.7109375" style="0" customWidth="1"/>
    <col min="16" max="16" width="7.00390625" style="0" customWidth="1"/>
    <col min="17" max="17" width="6.421875" style="0" customWidth="1"/>
    <col min="18" max="19" width="6.57421875" style="0" customWidth="1"/>
    <col min="20" max="20" width="7.57421875" style="0" customWidth="1"/>
  </cols>
  <sheetData>
    <row r="1" ht="12.75">
      <c r="H1" s="1"/>
    </row>
    <row r="2" spans="4:8" ht="12.75">
      <c r="D2" s="1"/>
      <c r="E2" s="1"/>
      <c r="F2" s="1"/>
      <c r="G2" s="1"/>
      <c r="H2" s="1"/>
    </row>
    <row r="3" ht="12.75">
      <c r="J3" s="25"/>
    </row>
    <row r="4" spans="1:17" s="1" customFormat="1" ht="12.75">
      <c r="A4" s="3"/>
      <c r="B4" s="22"/>
      <c r="C4"/>
      <c r="D4"/>
      <c r="E4"/>
      <c r="F4"/>
      <c r="G4"/>
      <c r="H4"/>
      <c r="I4"/>
      <c r="P4" s="26"/>
      <c r="Q4" s="26"/>
    </row>
    <row r="5" spans="2:16" ht="12.75">
      <c r="B5" t="s">
        <v>66</v>
      </c>
      <c r="P5" s="1"/>
    </row>
    <row r="6" spans="1:16" ht="12.75">
      <c r="A6" t="s">
        <v>111</v>
      </c>
      <c r="P6" s="1"/>
    </row>
    <row r="7" spans="2:16" ht="12.75">
      <c r="B7" s="135"/>
      <c r="K7" s="1"/>
      <c r="L7" s="1"/>
      <c r="M7" s="1"/>
      <c r="N7" s="1"/>
      <c r="O7" s="1"/>
      <c r="P7" s="1"/>
    </row>
    <row r="8" spans="11:16" ht="12.75">
      <c r="K8" s="1"/>
      <c r="L8" s="1"/>
      <c r="M8" s="1"/>
      <c r="N8" s="1"/>
      <c r="O8" s="1"/>
      <c r="P8" s="1"/>
    </row>
    <row r="9" spans="1:20" ht="12.75">
      <c r="A9" s="29"/>
      <c r="B9" s="30" t="s">
        <v>0</v>
      </c>
      <c r="C9" s="14" t="s">
        <v>2</v>
      </c>
      <c r="D9" s="73" t="s">
        <v>0</v>
      </c>
      <c r="E9" s="131" t="s">
        <v>99</v>
      </c>
      <c r="F9" s="126" t="s">
        <v>0</v>
      </c>
      <c r="G9" s="14" t="s">
        <v>2</v>
      </c>
      <c r="H9" s="32" t="s">
        <v>0</v>
      </c>
      <c r="I9" s="4" t="s">
        <v>2</v>
      </c>
      <c r="J9" s="4"/>
      <c r="K9" s="64">
        <v>2011</v>
      </c>
      <c r="L9" s="64">
        <v>2011</v>
      </c>
      <c r="M9" s="64">
        <v>2011</v>
      </c>
      <c r="N9" s="64">
        <v>2011</v>
      </c>
      <c r="O9" s="64">
        <v>2011</v>
      </c>
      <c r="P9" s="64">
        <v>2011</v>
      </c>
      <c r="Q9" s="64">
        <v>2011</v>
      </c>
      <c r="R9" s="64">
        <v>2011</v>
      </c>
      <c r="S9" s="64">
        <v>2011</v>
      </c>
      <c r="T9" s="64"/>
    </row>
    <row r="10" spans="1:20" ht="12.75">
      <c r="A10" s="34"/>
      <c r="B10" s="35" t="s">
        <v>4</v>
      </c>
      <c r="C10" s="134" t="s">
        <v>101</v>
      </c>
      <c r="D10" s="21" t="s">
        <v>57</v>
      </c>
      <c r="E10" s="36" t="s">
        <v>50</v>
      </c>
      <c r="F10" s="128" t="s">
        <v>91</v>
      </c>
      <c r="G10" s="133" t="s">
        <v>50</v>
      </c>
      <c r="H10" s="20" t="s">
        <v>4</v>
      </c>
      <c r="I10" s="2" t="s">
        <v>104</v>
      </c>
      <c r="J10" s="6" t="s">
        <v>5</v>
      </c>
      <c r="K10" s="17" t="s">
        <v>45</v>
      </c>
      <c r="L10" s="17" t="s">
        <v>54</v>
      </c>
      <c r="M10" s="17" t="s">
        <v>46</v>
      </c>
      <c r="N10" s="17" t="s">
        <v>47</v>
      </c>
      <c r="O10" s="21" t="s">
        <v>48</v>
      </c>
      <c r="P10" s="20" t="s">
        <v>6</v>
      </c>
      <c r="Q10" s="20" t="s">
        <v>7</v>
      </c>
      <c r="R10" s="20" t="s">
        <v>52</v>
      </c>
      <c r="S10" s="20" t="s">
        <v>8</v>
      </c>
      <c r="T10" s="6" t="s">
        <v>112</v>
      </c>
    </row>
    <row r="11" spans="1:20" ht="12.75">
      <c r="A11" s="34" t="s">
        <v>9</v>
      </c>
      <c r="B11" s="35" t="s">
        <v>10</v>
      </c>
      <c r="C11" s="134" t="s">
        <v>103</v>
      </c>
      <c r="D11" s="21" t="s">
        <v>58</v>
      </c>
      <c r="E11" s="36" t="s">
        <v>103</v>
      </c>
      <c r="F11" s="128" t="s">
        <v>92</v>
      </c>
      <c r="G11" s="133" t="s">
        <v>95</v>
      </c>
      <c r="H11" s="20" t="s">
        <v>12</v>
      </c>
      <c r="I11" s="2" t="s">
        <v>105</v>
      </c>
      <c r="J11" s="42"/>
      <c r="K11" s="17" t="s">
        <v>56</v>
      </c>
      <c r="L11" s="17" t="s">
        <v>55</v>
      </c>
      <c r="M11" s="17"/>
      <c r="N11" s="17" t="s">
        <v>53</v>
      </c>
      <c r="O11" s="17"/>
      <c r="P11" s="20" t="s">
        <v>15</v>
      </c>
      <c r="Q11" s="20" t="s">
        <v>15</v>
      </c>
      <c r="R11" s="20" t="s">
        <v>15</v>
      </c>
      <c r="S11" s="20" t="s">
        <v>15</v>
      </c>
      <c r="T11" s="6" t="s">
        <v>113</v>
      </c>
    </row>
    <row r="12" spans="1:20" ht="12.75">
      <c r="A12" s="34"/>
      <c r="B12" s="35" t="s">
        <v>16</v>
      </c>
      <c r="C12" s="133" t="s">
        <v>96</v>
      </c>
      <c r="D12" s="85"/>
      <c r="E12" s="132" t="s">
        <v>96</v>
      </c>
      <c r="F12" s="129" t="s">
        <v>93</v>
      </c>
      <c r="G12" s="133" t="s">
        <v>96</v>
      </c>
      <c r="H12" s="44"/>
      <c r="I12" s="6" t="s">
        <v>96</v>
      </c>
      <c r="J12" s="42"/>
      <c r="K12" s="17"/>
      <c r="L12" s="17"/>
      <c r="M12" s="17"/>
      <c r="N12" s="21"/>
      <c r="O12" s="17"/>
      <c r="P12" s="7"/>
      <c r="Q12" s="7"/>
      <c r="R12" s="7"/>
      <c r="S12" s="7"/>
      <c r="T12" s="7"/>
    </row>
    <row r="13" spans="2:20" ht="12.75">
      <c r="B13" s="20">
        <v>2011</v>
      </c>
      <c r="C13" s="15" t="s">
        <v>4</v>
      </c>
      <c r="D13" s="21" t="s">
        <v>59</v>
      </c>
      <c r="E13" s="86" t="s">
        <v>89</v>
      </c>
      <c r="F13" s="128" t="s">
        <v>94</v>
      </c>
      <c r="G13" s="85" t="s">
        <v>92</v>
      </c>
      <c r="H13" s="20"/>
      <c r="I13" s="7" t="s">
        <v>4</v>
      </c>
      <c r="J13" s="6" t="s">
        <v>50</v>
      </c>
      <c r="K13" s="21">
        <v>15</v>
      </c>
      <c r="L13" s="21">
        <v>20</v>
      </c>
      <c r="M13" s="21">
        <v>16</v>
      </c>
      <c r="N13" s="45">
        <v>21</v>
      </c>
      <c r="O13" s="17">
        <v>20</v>
      </c>
      <c r="P13" s="20">
        <v>22</v>
      </c>
      <c r="Q13" s="20">
        <v>21</v>
      </c>
      <c r="R13" s="20">
        <v>17</v>
      </c>
      <c r="S13" s="20">
        <v>22</v>
      </c>
      <c r="T13" s="6">
        <f>SUM(K13:S13)</f>
        <v>174</v>
      </c>
    </row>
    <row r="14" spans="2:20" ht="12.75">
      <c r="B14" s="40"/>
      <c r="C14" s="15" t="s">
        <v>102</v>
      </c>
      <c r="D14" s="45" t="s">
        <v>60</v>
      </c>
      <c r="E14" s="85" t="s">
        <v>90</v>
      </c>
      <c r="F14" s="86"/>
      <c r="G14" s="86" t="s">
        <v>97</v>
      </c>
      <c r="H14" s="20"/>
      <c r="I14" s="6" t="s">
        <v>106</v>
      </c>
      <c r="J14" s="6" t="s">
        <v>19</v>
      </c>
      <c r="K14" s="20" t="s">
        <v>49</v>
      </c>
      <c r="L14" s="20" t="s">
        <v>49</v>
      </c>
      <c r="M14" s="20" t="s">
        <v>49</v>
      </c>
      <c r="N14" s="20" t="s">
        <v>49</v>
      </c>
      <c r="O14" s="20" t="s">
        <v>49</v>
      </c>
      <c r="P14" s="20" t="s">
        <v>49</v>
      </c>
      <c r="Q14" s="20" t="s">
        <v>49</v>
      </c>
      <c r="R14" s="20" t="s">
        <v>49</v>
      </c>
      <c r="S14" s="20" t="s">
        <v>49</v>
      </c>
      <c r="T14" s="6" t="s">
        <v>49</v>
      </c>
    </row>
    <row r="15" spans="1:20" ht="12.75">
      <c r="A15" s="34"/>
      <c r="B15" s="47"/>
      <c r="C15" s="133" t="s">
        <v>100</v>
      </c>
      <c r="D15" s="21" t="s">
        <v>61</v>
      </c>
      <c r="E15" s="85" t="s">
        <v>100</v>
      </c>
      <c r="F15" s="85"/>
      <c r="G15" s="85" t="s">
        <v>98</v>
      </c>
      <c r="H15" s="39"/>
      <c r="I15" s="6" t="s">
        <v>100</v>
      </c>
      <c r="J15" s="9" t="s">
        <v>20</v>
      </c>
      <c r="K15" s="48"/>
      <c r="L15" s="48"/>
      <c r="M15" s="48"/>
      <c r="N15" s="49"/>
      <c r="O15" s="49"/>
      <c r="P15" s="9"/>
      <c r="Q15" s="9"/>
      <c r="R15" s="9"/>
      <c r="S15" s="9"/>
      <c r="T15" s="9"/>
    </row>
    <row r="16" spans="1:20" ht="12.75">
      <c r="A16" s="50" t="s">
        <v>21</v>
      </c>
      <c r="B16" s="80">
        <v>68</v>
      </c>
      <c r="C16" s="55">
        <f>B16*11.61*174/1000</f>
        <v>137.36952</v>
      </c>
      <c r="D16" s="91">
        <v>17</v>
      </c>
      <c r="E16" s="125">
        <f>D16*11.61*174/1000</f>
        <v>34.34238</v>
      </c>
      <c r="F16" s="125">
        <v>22</v>
      </c>
      <c r="G16" s="52">
        <f>F16*11.61*174/1000</f>
        <v>44.443079999999995</v>
      </c>
      <c r="H16" s="50"/>
      <c r="I16" s="54"/>
      <c r="J16" s="54">
        <f>C16+E16+G16+I16</f>
        <v>216.15497999999997</v>
      </c>
      <c r="K16" s="19">
        <f>J16/174*15</f>
        <v>18.634049999999995</v>
      </c>
      <c r="L16" s="19">
        <f>J16/174*20</f>
        <v>24.845399999999994</v>
      </c>
      <c r="M16" s="18">
        <f>J16/174*16</f>
        <v>19.876319999999996</v>
      </c>
      <c r="N16" s="89">
        <f>J16/174*21</f>
        <v>26.087669999999996</v>
      </c>
      <c r="O16" s="19">
        <f>J16/174*20</f>
        <v>24.845399999999994</v>
      </c>
      <c r="P16" s="52">
        <f>J16/174*22</f>
        <v>27.329939999999993</v>
      </c>
      <c r="Q16" s="52">
        <f>J16/174*21</f>
        <v>26.087669999999996</v>
      </c>
      <c r="R16" s="52">
        <f>J16/174*17</f>
        <v>21.118589999999998</v>
      </c>
      <c r="S16" s="52">
        <f>J16/174*22</f>
        <v>27.329939999999993</v>
      </c>
      <c r="T16" s="54">
        <f>SUM(K16:S16)</f>
        <v>216.15497999999994</v>
      </c>
    </row>
    <row r="17" spans="1:20" ht="12.75">
      <c r="A17" s="39" t="s">
        <v>22</v>
      </c>
      <c r="B17" s="20">
        <v>49</v>
      </c>
      <c r="C17" s="55">
        <f aca="true" t="shared" si="0" ref="C17:C37">B17*11.61*174/1000</f>
        <v>98.98686000000001</v>
      </c>
      <c r="D17" s="76">
        <v>15</v>
      </c>
      <c r="E17" s="125">
        <f aca="true" t="shared" si="1" ref="E17:E37">D17*11.61*174/1000</f>
        <v>30.302099999999996</v>
      </c>
      <c r="F17" s="125">
        <v>22</v>
      </c>
      <c r="G17" s="52">
        <f aca="true" t="shared" si="2" ref="G17:G37">F17*11.61*174/1000</f>
        <v>44.443079999999995</v>
      </c>
      <c r="H17" s="39"/>
      <c r="I17" s="54"/>
      <c r="J17" s="54">
        <f aca="true" t="shared" si="3" ref="J17:J37">C17+E17+G17+I17</f>
        <v>173.73203999999998</v>
      </c>
      <c r="K17" s="19">
        <f aca="true" t="shared" si="4" ref="K17:K37">J17/174*15</f>
        <v>14.976899999999999</v>
      </c>
      <c r="L17" s="19">
        <f aca="true" t="shared" si="5" ref="L17:L37">J17/174*20</f>
        <v>19.969199999999997</v>
      </c>
      <c r="M17" s="18">
        <f aca="true" t="shared" si="6" ref="M17:M37">J17/174*16</f>
        <v>15.975359999999998</v>
      </c>
      <c r="N17" s="89">
        <f aca="true" t="shared" si="7" ref="N17:N37">J17/174*21</f>
        <v>20.96766</v>
      </c>
      <c r="O17" s="19">
        <f aca="true" t="shared" si="8" ref="O17:O37">J17/174*20</f>
        <v>19.969199999999997</v>
      </c>
      <c r="P17" s="52">
        <f aca="true" t="shared" si="9" ref="P17:P37">J17/174*22</f>
        <v>21.966119999999997</v>
      </c>
      <c r="Q17" s="52">
        <f aca="true" t="shared" si="10" ref="Q17:Q37">J17/174*21</f>
        <v>20.96766</v>
      </c>
      <c r="R17" s="52">
        <f aca="true" t="shared" si="11" ref="R17:R37">J17/174*17</f>
        <v>16.97382</v>
      </c>
      <c r="S17" s="52">
        <f aca="true" t="shared" si="12" ref="S17:S37">J17/174*22</f>
        <v>21.966119999999997</v>
      </c>
      <c r="T17" s="54">
        <f aca="true" t="shared" si="13" ref="T17:T37">SUM(K17:S17)</f>
        <v>173.73203999999996</v>
      </c>
    </row>
    <row r="18" spans="1:20" s="1" customFormat="1" ht="12.75">
      <c r="A18" s="50" t="s">
        <v>23</v>
      </c>
      <c r="B18" s="80">
        <v>54</v>
      </c>
      <c r="C18" s="55">
        <f t="shared" si="0"/>
        <v>109.08755999999998</v>
      </c>
      <c r="D18" s="77">
        <v>7</v>
      </c>
      <c r="E18" s="136">
        <f t="shared" si="1"/>
        <v>14.140979999999999</v>
      </c>
      <c r="F18" s="125">
        <v>11</v>
      </c>
      <c r="G18" s="52">
        <f t="shared" si="2"/>
        <v>22.221539999999997</v>
      </c>
      <c r="H18" s="33"/>
      <c r="I18" s="54"/>
      <c r="J18" s="54">
        <f t="shared" si="3"/>
        <v>145.45007999999999</v>
      </c>
      <c r="K18" s="19">
        <f t="shared" si="4"/>
        <v>12.538799999999998</v>
      </c>
      <c r="L18" s="19">
        <f t="shared" si="5"/>
        <v>16.7184</v>
      </c>
      <c r="M18" s="18">
        <f t="shared" si="6"/>
        <v>13.374719999999998</v>
      </c>
      <c r="N18" s="89">
        <f t="shared" si="7"/>
        <v>17.554319999999997</v>
      </c>
      <c r="O18" s="19">
        <f t="shared" si="8"/>
        <v>16.7184</v>
      </c>
      <c r="P18" s="52">
        <f t="shared" si="9"/>
        <v>18.39024</v>
      </c>
      <c r="Q18" s="52">
        <f t="shared" si="10"/>
        <v>17.554319999999997</v>
      </c>
      <c r="R18" s="52">
        <f t="shared" si="11"/>
        <v>14.210639999999998</v>
      </c>
      <c r="S18" s="52">
        <f t="shared" si="12"/>
        <v>18.39024</v>
      </c>
      <c r="T18" s="54">
        <f t="shared" si="13"/>
        <v>145.45007999999996</v>
      </c>
    </row>
    <row r="19" spans="1:20" s="1" customFormat="1" ht="12.75">
      <c r="A19" s="1" t="s">
        <v>24</v>
      </c>
      <c r="B19" s="80">
        <v>24</v>
      </c>
      <c r="C19" s="55">
        <f t="shared" si="0"/>
        <v>48.48336</v>
      </c>
      <c r="D19" s="78">
        <v>6</v>
      </c>
      <c r="E19" s="19">
        <f t="shared" si="1"/>
        <v>12.12084</v>
      </c>
      <c r="F19" s="127">
        <v>6</v>
      </c>
      <c r="G19" s="52">
        <f t="shared" si="2"/>
        <v>12.12084</v>
      </c>
      <c r="H19" s="18"/>
      <c r="I19" s="71"/>
      <c r="J19" s="54">
        <f t="shared" si="3"/>
        <v>72.72503999999999</v>
      </c>
      <c r="K19" s="19">
        <f t="shared" si="4"/>
        <v>6.269399999999999</v>
      </c>
      <c r="L19" s="19">
        <f t="shared" si="5"/>
        <v>8.3592</v>
      </c>
      <c r="M19" s="18">
        <f t="shared" si="6"/>
        <v>6.687359999999999</v>
      </c>
      <c r="N19" s="89">
        <f t="shared" si="7"/>
        <v>8.777159999999999</v>
      </c>
      <c r="O19" s="19">
        <f t="shared" si="8"/>
        <v>8.3592</v>
      </c>
      <c r="P19" s="52">
        <f t="shared" si="9"/>
        <v>9.19512</v>
      </c>
      <c r="Q19" s="52">
        <f t="shared" si="10"/>
        <v>8.777159999999999</v>
      </c>
      <c r="R19" s="52">
        <f t="shared" si="11"/>
        <v>7.105319999999999</v>
      </c>
      <c r="S19" s="52">
        <f t="shared" si="12"/>
        <v>9.19512</v>
      </c>
      <c r="T19" s="54">
        <f t="shared" si="13"/>
        <v>72.72503999999998</v>
      </c>
    </row>
    <row r="20" spans="1:20" s="1" customFormat="1" ht="12.75">
      <c r="A20" s="50" t="s">
        <v>25</v>
      </c>
      <c r="B20" s="81">
        <v>155</v>
      </c>
      <c r="C20" s="55">
        <f t="shared" si="0"/>
        <v>313.12170000000003</v>
      </c>
      <c r="D20" s="75">
        <v>35</v>
      </c>
      <c r="E20" s="137">
        <f t="shared" si="1"/>
        <v>70.7049</v>
      </c>
      <c r="F20" s="125">
        <v>44</v>
      </c>
      <c r="G20" s="52">
        <f t="shared" si="2"/>
        <v>88.88615999999999</v>
      </c>
      <c r="H20" s="56">
        <v>50</v>
      </c>
      <c r="I20" s="52">
        <f>H20*20.62*174/1000</f>
        <v>179.394</v>
      </c>
      <c r="J20" s="54">
        <f t="shared" si="3"/>
        <v>652.10676</v>
      </c>
      <c r="K20" s="19">
        <f t="shared" si="4"/>
        <v>56.2161</v>
      </c>
      <c r="L20" s="19">
        <f t="shared" si="5"/>
        <v>74.95479999999999</v>
      </c>
      <c r="M20" s="18">
        <f t="shared" si="6"/>
        <v>59.96384</v>
      </c>
      <c r="N20" s="89">
        <f t="shared" si="7"/>
        <v>78.70254</v>
      </c>
      <c r="O20" s="19">
        <f t="shared" si="8"/>
        <v>74.95479999999999</v>
      </c>
      <c r="P20" s="52">
        <f t="shared" si="9"/>
        <v>82.45027999999999</v>
      </c>
      <c r="Q20" s="52">
        <f t="shared" si="10"/>
        <v>78.70254</v>
      </c>
      <c r="R20" s="52">
        <f t="shared" si="11"/>
        <v>63.71158</v>
      </c>
      <c r="S20" s="52">
        <f t="shared" si="12"/>
        <v>82.45027999999999</v>
      </c>
      <c r="T20" s="54">
        <f t="shared" si="13"/>
        <v>652.10676</v>
      </c>
    </row>
    <row r="21" spans="1:20" s="1" customFormat="1" ht="12.75">
      <c r="A21" s="50" t="s">
        <v>26</v>
      </c>
      <c r="B21" s="81">
        <v>150</v>
      </c>
      <c r="C21" s="55">
        <f t="shared" si="0"/>
        <v>303.021</v>
      </c>
      <c r="D21" s="75">
        <v>18</v>
      </c>
      <c r="E21" s="125">
        <f t="shared" si="1"/>
        <v>36.362519999999996</v>
      </c>
      <c r="F21" s="125">
        <v>51</v>
      </c>
      <c r="G21" s="52">
        <f t="shared" si="2"/>
        <v>103.02714</v>
      </c>
      <c r="H21" s="56"/>
      <c r="I21" s="52"/>
      <c r="J21" s="54">
        <f t="shared" si="3"/>
        <v>442.41066</v>
      </c>
      <c r="K21" s="19">
        <f t="shared" si="4"/>
        <v>38.138850000000005</v>
      </c>
      <c r="L21" s="19">
        <f t="shared" si="5"/>
        <v>50.851800000000004</v>
      </c>
      <c r="M21" s="18">
        <f t="shared" si="6"/>
        <v>40.68144</v>
      </c>
      <c r="N21" s="89">
        <f t="shared" si="7"/>
        <v>53.39439</v>
      </c>
      <c r="O21" s="19">
        <f t="shared" si="8"/>
        <v>50.851800000000004</v>
      </c>
      <c r="P21" s="52">
        <f t="shared" si="9"/>
        <v>55.936980000000005</v>
      </c>
      <c r="Q21" s="52">
        <f t="shared" si="10"/>
        <v>53.39439</v>
      </c>
      <c r="R21" s="52">
        <f t="shared" si="11"/>
        <v>43.22403</v>
      </c>
      <c r="S21" s="52">
        <f t="shared" si="12"/>
        <v>55.936980000000005</v>
      </c>
      <c r="T21" s="54">
        <f t="shared" si="13"/>
        <v>442.41066000000006</v>
      </c>
    </row>
    <row r="22" spans="1:20" s="1" customFormat="1" ht="12.75">
      <c r="A22" s="50" t="s">
        <v>27</v>
      </c>
      <c r="B22" s="81">
        <v>61</v>
      </c>
      <c r="C22" s="55">
        <f t="shared" si="0"/>
        <v>123.22854</v>
      </c>
      <c r="D22" s="75">
        <v>18</v>
      </c>
      <c r="E22" s="125">
        <f t="shared" si="1"/>
        <v>36.362519999999996</v>
      </c>
      <c r="F22" s="125">
        <v>11</v>
      </c>
      <c r="G22" s="52">
        <f t="shared" si="2"/>
        <v>22.221539999999997</v>
      </c>
      <c r="H22" s="56">
        <v>25</v>
      </c>
      <c r="I22" s="52">
        <f>H22*20.62*174/1000</f>
        <v>89.697</v>
      </c>
      <c r="J22" s="54">
        <f t="shared" si="3"/>
        <v>271.5096</v>
      </c>
      <c r="K22" s="19">
        <f t="shared" si="4"/>
        <v>23.405999999999995</v>
      </c>
      <c r="L22" s="19">
        <f t="shared" si="5"/>
        <v>31.207999999999995</v>
      </c>
      <c r="M22" s="18">
        <f t="shared" si="6"/>
        <v>24.966399999999997</v>
      </c>
      <c r="N22" s="89">
        <f t="shared" si="7"/>
        <v>32.76839999999999</v>
      </c>
      <c r="O22" s="19">
        <f t="shared" si="8"/>
        <v>31.207999999999995</v>
      </c>
      <c r="P22" s="52">
        <f t="shared" si="9"/>
        <v>34.328799999999994</v>
      </c>
      <c r="Q22" s="52">
        <f t="shared" si="10"/>
        <v>32.76839999999999</v>
      </c>
      <c r="R22" s="52">
        <f t="shared" si="11"/>
        <v>26.526799999999998</v>
      </c>
      <c r="S22" s="52">
        <f t="shared" si="12"/>
        <v>34.328799999999994</v>
      </c>
      <c r="T22" s="54">
        <f t="shared" si="13"/>
        <v>271.5096</v>
      </c>
    </row>
    <row r="23" spans="1:20" s="1" customFormat="1" ht="12.75">
      <c r="A23" s="50" t="s">
        <v>28</v>
      </c>
      <c r="B23" s="81">
        <v>42</v>
      </c>
      <c r="C23" s="55">
        <f t="shared" si="0"/>
        <v>84.84588000000001</v>
      </c>
      <c r="D23" s="141">
        <v>20</v>
      </c>
      <c r="E23" s="125">
        <f t="shared" si="1"/>
        <v>40.4028</v>
      </c>
      <c r="F23" s="125">
        <v>14</v>
      </c>
      <c r="G23" s="52">
        <f t="shared" si="2"/>
        <v>28.281959999999998</v>
      </c>
      <c r="H23" s="56"/>
      <c r="I23" s="52"/>
      <c r="J23" s="54">
        <f t="shared" si="3"/>
        <v>153.53064</v>
      </c>
      <c r="K23" s="19">
        <f t="shared" si="4"/>
        <v>13.2354</v>
      </c>
      <c r="L23" s="19">
        <f t="shared" si="5"/>
        <v>17.6472</v>
      </c>
      <c r="M23" s="18">
        <f t="shared" si="6"/>
        <v>14.11776</v>
      </c>
      <c r="N23" s="89">
        <f t="shared" si="7"/>
        <v>18.52956</v>
      </c>
      <c r="O23" s="19">
        <f t="shared" si="8"/>
        <v>17.6472</v>
      </c>
      <c r="P23" s="52">
        <f t="shared" si="9"/>
        <v>19.411920000000002</v>
      </c>
      <c r="Q23" s="52">
        <f t="shared" si="10"/>
        <v>18.52956</v>
      </c>
      <c r="R23" s="52">
        <f t="shared" si="11"/>
        <v>15.00012</v>
      </c>
      <c r="S23" s="52">
        <f t="shared" si="12"/>
        <v>19.411920000000002</v>
      </c>
      <c r="T23" s="54">
        <f t="shared" si="13"/>
        <v>153.53064000000003</v>
      </c>
    </row>
    <row r="24" spans="1:20" s="1" customFormat="1" ht="12.75">
      <c r="A24" s="50" t="s">
        <v>29</v>
      </c>
      <c r="B24" s="81">
        <v>31</v>
      </c>
      <c r="C24" s="55">
        <f t="shared" si="0"/>
        <v>62.62434</v>
      </c>
      <c r="D24" s="75">
        <v>16</v>
      </c>
      <c r="E24" s="125">
        <f t="shared" si="1"/>
        <v>32.32224</v>
      </c>
      <c r="F24" s="125">
        <v>11</v>
      </c>
      <c r="G24" s="52">
        <f t="shared" si="2"/>
        <v>22.221539999999997</v>
      </c>
      <c r="H24" s="56"/>
      <c r="I24" s="52"/>
      <c r="J24" s="54">
        <f t="shared" si="3"/>
        <v>117.16811999999999</v>
      </c>
      <c r="K24" s="19">
        <f t="shared" si="4"/>
        <v>10.1007</v>
      </c>
      <c r="L24" s="19">
        <f t="shared" si="5"/>
        <v>13.4676</v>
      </c>
      <c r="M24" s="18">
        <f t="shared" si="6"/>
        <v>10.77408</v>
      </c>
      <c r="N24" s="89">
        <f t="shared" si="7"/>
        <v>14.140979999999999</v>
      </c>
      <c r="O24" s="19">
        <f t="shared" si="8"/>
        <v>13.4676</v>
      </c>
      <c r="P24" s="52">
        <f t="shared" si="9"/>
        <v>14.814359999999999</v>
      </c>
      <c r="Q24" s="52">
        <f t="shared" si="10"/>
        <v>14.140979999999999</v>
      </c>
      <c r="R24" s="52">
        <f t="shared" si="11"/>
        <v>11.44746</v>
      </c>
      <c r="S24" s="52">
        <f t="shared" si="12"/>
        <v>14.814359999999999</v>
      </c>
      <c r="T24" s="54">
        <f t="shared" si="13"/>
        <v>117.16811999999999</v>
      </c>
    </row>
    <row r="25" spans="1:20" s="1" customFormat="1" ht="12.75">
      <c r="A25" s="50" t="s">
        <v>30</v>
      </c>
      <c r="B25" s="81">
        <v>16</v>
      </c>
      <c r="C25" s="55">
        <f t="shared" si="0"/>
        <v>32.32224</v>
      </c>
      <c r="D25" s="75">
        <v>3</v>
      </c>
      <c r="E25" s="125">
        <f t="shared" si="1"/>
        <v>6.06042</v>
      </c>
      <c r="F25" s="125">
        <v>1</v>
      </c>
      <c r="G25" s="52">
        <f t="shared" si="2"/>
        <v>2.02014</v>
      </c>
      <c r="H25" s="56"/>
      <c r="I25" s="52"/>
      <c r="J25" s="54">
        <f t="shared" si="3"/>
        <v>40.4028</v>
      </c>
      <c r="K25" s="19">
        <f t="shared" si="4"/>
        <v>3.4829999999999997</v>
      </c>
      <c r="L25" s="19">
        <f t="shared" si="5"/>
        <v>4.644</v>
      </c>
      <c r="M25" s="18">
        <f t="shared" si="6"/>
        <v>3.7152</v>
      </c>
      <c r="N25" s="89">
        <f t="shared" si="7"/>
        <v>4.8762</v>
      </c>
      <c r="O25" s="19">
        <f t="shared" si="8"/>
        <v>4.644</v>
      </c>
      <c r="P25" s="52">
        <f t="shared" si="9"/>
        <v>5.1084</v>
      </c>
      <c r="Q25" s="52">
        <f t="shared" si="10"/>
        <v>4.8762</v>
      </c>
      <c r="R25" s="52">
        <f t="shared" si="11"/>
        <v>3.9474</v>
      </c>
      <c r="S25" s="52">
        <f t="shared" si="12"/>
        <v>5.1084</v>
      </c>
      <c r="T25" s="54">
        <f t="shared" si="13"/>
        <v>40.4028</v>
      </c>
    </row>
    <row r="26" spans="1:20" s="1" customFormat="1" ht="12.75">
      <c r="A26" s="50" t="s">
        <v>31</v>
      </c>
      <c r="B26" s="81">
        <v>12</v>
      </c>
      <c r="C26" s="55">
        <f t="shared" si="0"/>
        <v>24.24168</v>
      </c>
      <c r="D26" s="75">
        <v>2</v>
      </c>
      <c r="E26" s="125">
        <f t="shared" si="1"/>
        <v>4.04028</v>
      </c>
      <c r="F26" s="125">
        <v>2</v>
      </c>
      <c r="G26" s="52">
        <f t="shared" si="2"/>
        <v>4.04028</v>
      </c>
      <c r="H26" s="56"/>
      <c r="I26" s="52"/>
      <c r="J26" s="54">
        <f t="shared" si="3"/>
        <v>32.32224</v>
      </c>
      <c r="K26" s="19">
        <f t="shared" si="4"/>
        <v>2.7864</v>
      </c>
      <c r="L26" s="19">
        <f t="shared" si="5"/>
        <v>3.7152000000000003</v>
      </c>
      <c r="M26" s="18">
        <f t="shared" si="6"/>
        <v>2.97216</v>
      </c>
      <c r="N26" s="89">
        <f t="shared" si="7"/>
        <v>3.90096</v>
      </c>
      <c r="O26" s="19">
        <f t="shared" si="8"/>
        <v>3.7152000000000003</v>
      </c>
      <c r="P26" s="52">
        <f t="shared" si="9"/>
        <v>4.086720000000001</v>
      </c>
      <c r="Q26" s="52">
        <f t="shared" si="10"/>
        <v>3.90096</v>
      </c>
      <c r="R26" s="52">
        <f t="shared" si="11"/>
        <v>3.1579200000000003</v>
      </c>
      <c r="S26" s="52">
        <f t="shared" si="12"/>
        <v>4.086720000000001</v>
      </c>
      <c r="T26" s="54">
        <f t="shared" si="13"/>
        <v>32.32224</v>
      </c>
    </row>
    <row r="27" spans="1:20" s="1" customFormat="1" ht="12.75">
      <c r="A27" s="50" t="s">
        <v>32</v>
      </c>
      <c r="B27" s="81">
        <v>17</v>
      </c>
      <c r="C27" s="55">
        <f t="shared" si="0"/>
        <v>34.34238</v>
      </c>
      <c r="D27" s="75">
        <v>3</v>
      </c>
      <c r="E27" s="125">
        <f t="shared" si="1"/>
        <v>6.06042</v>
      </c>
      <c r="F27" s="125">
        <v>0</v>
      </c>
      <c r="G27" s="52">
        <f t="shared" si="2"/>
        <v>0</v>
      </c>
      <c r="H27" s="56"/>
      <c r="I27" s="52"/>
      <c r="J27" s="54">
        <f t="shared" si="3"/>
        <v>40.4028</v>
      </c>
      <c r="K27" s="19">
        <f t="shared" si="4"/>
        <v>3.4829999999999997</v>
      </c>
      <c r="L27" s="19">
        <f t="shared" si="5"/>
        <v>4.644</v>
      </c>
      <c r="M27" s="18">
        <f t="shared" si="6"/>
        <v>3.7152</v>
      </c>
      <c r="N27" s="89">
        <f t="shared" si="7"/>
        <v>4.8762</v>
      </c>
      <c r="O27" s="19">
        <f t="shared" si="8"/>
        <v>4.644</v>
      </c>
      <c r="P27" s="52">
        <f t="shared" si="9"/>
        <v>5.1084</v>
      </c>
      <c r="Q27" s="52">
        <f t="shared" si="10"/>
        <v>4.8762</v>
      </c>
      <c r="R27" s="52">
        <f t="shared" si="11"/>
        <v>3.9474</v>
      </c>
      <c r="S27" s="52">
        <f t="shared" si="12"/>
        <v>5.1084</v>
      </c>
      <c r="T27" s="54">
        <f t="shared" si="13"/>
        <v>40.4028</v>
      </c>
    </row>
    <row r="28" spans="1:20" s="1" customFormat="1" ht="12.75">
      <c r="A28" s="50" t="s">
        <v>33</v>
      </c>
      <c r="B28" s="81">
        <v>19</v>
      </c>
      <c r="C28" s="55">
        <f t="shared" si="0"/>
        <v>38.382659999999994</v>
      </c>
      <c r="D28" s="75">
        <v>6</v>
      </c>
      <c r="E28" s="125">
        <f t="shared" si="1"/>
        <v>12.12084</v>
      </c>
      <c r="F28" s="125">
        <v>1</v>
      </c>
      <c r="G28" s="52">
        <f t="shared" si="2"/>
        <v>2.02014</v>
      </c>
      <c r="H28" s="56"/>
      <c r="I28" s="52"/>
      <c r="J28" s="54">
        <f t="shared" si="3"/>
        <v>52.52363999999999</v>
      </c>
      <c r="K28" s="19">
        <f t="shared" si="4"/>
        <v>4.5279</v>
      </c>
      <c r="L28" s="19">
        <f t="shared" si="5"/>
        <v>6.0371999999999995</v>
      </c>
      <c r="M28" s="18">
        <f t="shared" si="6"/>
        <v>4.829759999999999</v>
      </c>
      <c r="N28" s="89">
        <f t="shared" si="7"/>
        <v>6.339059999999999</v>
      </c>
      <c r="O28" s="19">
        <f t="shared" si="8"/>
        <v>6.0371999999999995</v>
      </c>
      <c r="P28" s="52">
        <f t="shared" si="9"/>
        <v>6.6409199999999995</v>
      </c>
      <c r="Q28" s="52">
        <f t="shared" si="10"/>
        <v>6.339059999999999</v>
      </c>
      <c r="R28" s="52">
        <f t="shared" si="11"/>
        <v>5.131619999999999</v>
      </c>
      <c r="S28" s="52">
        <f t="shared" si="12"/>
        <v>6.6409199999999995</v>
      </c>
      <c r="T28" s="54">
        <f t="shared" si="13"/>
        <v>52.52363999999999</v>
      </c>
    </row>
    <row r="29" spans="1:20" s="1" customFormat="1" ht="12.75">
      <c r="A29" s="50" t="s">
        <v>34</v>
      </c>
      <c r="B29" s="81">
        <v>15</v>
      </c>
      <c r="C29" s="55">
        <f t="shared" si="0"/>
        <v>30.302099999999996</v>
      </c>
      <c r="D29" s="75">
        <v>10</v>
      </c>
      <c r="E29" s="125">
        <f t="shared" si="1"/>
        <v>20.2014</v>
      </c>
      <c r="F29" s="125">
        <v>3</v>
      </c>
      <c r="G29" s="52">
        <f t="shared" si="2"/>
        <v>6.06042</v>
      </c>
      <c r="H29" s="56"/>
      <c r="I29" s="52"/>
      <c r="J29" s="54">
        <f t="shared" si="3"/>
        <v>56.563919999999996</v>
      </c>
      <c r="K29" s="19">
        <f t="shared" si="4"/>
        <v>4.8762</v>
      </c>
      <c r="L29" s="19">
        <f t="shared" si="5"/>
        <v>6.5016</v>
      </c>
      <c r="M29" s="18">
        <f t="shared" si="6"/>
        <v>5.20128</v>
      </c>
      <c r="N29" s="89">
        <f t="shared" si="7"/>
        <v>6.82668</v>
      </c>
      <c r="O29" s="19">
        <f t="shared" si="8"/>
        <v>6.5016</v>
      </c>
      <c r="P29" s="52">
        <f t="shared" si="9"/>
        <v>7.1517599999999995</v>
      </c>
      <c r="Q29" s="52">
        <f t="shared" si="10"/>
        <v>6.82668</v>
      </c>
      <c r="R29" s="52">
        <f t="shared" si="11"/>
        <v>5.5263599999999995</v>
      </c>
      <c r="S29" s="52">
        <f t="shared" si="12"/>
        <v>7.1517599999999995</v>
      </c>
      <c r="T29" s="54">
        <f t="shared" si="13"/>
        <v>56.563919999999996</v>
      </c>
    </row>
    <row r="30" spans="1:20" s="1" customFormat="1" ht="12.75">
      <c r="A30" s="50" t="s">
        <v>35</v>
      </c>
      <c r="B30" s="81">
        <v>5</v>
      </c>
      <c r="C30" s="55">
        <f t="shared" si="0"/>
        <v>10.1007</v>
      </c>
      <c r="D30" s="75">
        <v>0</v>
      </c>
      <c r="E30" s="125">
        <f t="shared" si="1"/>
        <v>0</v>
      </c>
      <c r="F30" s="125">
        <v>1</v>
      </c>
      <c r="G30" s="52">
        <f t="shared" si="2"/>
        <v>2.02014</v>
      </c>
      <c r="H30" s="56"/>
      <c r="I30" s="52"/>
      <c r="J30" s="54">
        <f t="shared" si="3"/>
        <v>12.12084</v>
      </c>
      <c r="K30" s="19">
        <f t="shared" si="4"/>
        <v>1.0449</v>
      </c>
      <c r="L30" s="19">
        <f t="shared" si="5"/>
        <v>1.3932</v>
      </c>
      <c r="M30" s="18">
        <f t="shared" si="6"/>
        <v>1.11456</v>
      </c>
      <c r="N30" s="89">
        <f t="shared" si="7"/>
        <v>1.46286</v>
      </c>
      <c r="O30" s="19">
        <f t="shared" si="8"/>
        <v>1.3932</v>
      </c>
      <c r="P30" s="52">
        <f t="shared" si="9"/>
        <v>1.5325199999999999</v>
      </c>
      <c r="Q30" s="52">
        <f t="shared" si="10"/>
        <v>1.46286</v>
      </c>
      <c r="R30" s="52">
        <f t="shared" si="11"/>
        <v>1.18422</v>
      </c>
      <c r="S30" s="52">
        <f t="shared" si="12"/>
        <v>1.5325199999999999</v>
      </c>
      <c r="T30" s="54">
        <f t="shared" si="13"/>
        <v>12.12084</v>
      </c>
    </row>
    <row r="31" spans="1:20" s="1" customFormat="1" ht="12.75">
      <c r="A31" s="50" t="s">
        <v>36</v>
      </c>
      <c r="B31" s="81">
        <v>14</v>
      </c>
      <c r="C31" s="55">
        <f t="shared" si="0"/>
        <v>28.281959999999998</v>
      </c>
      <c r="D31" s="75">
        <v>6</v>
      </c>
      <c r="E31" s="125">
        <f t="shared" si="1"/>
        <v>12.12084</v>
      </c>
      <c r="F31" s="125">
        <v>1</v>
      </c>
      <c r="G31" s="52">
        <f t="shared" si="2"/>
        <v>2.02014</v>
      </c>
      <c r="H31" s="56"/>
      <c r="I31" s="52"/>
      <c r="J31" s="54">
        <f t="shared" si="3"/>
        <v>42.42294</v>
      </c>
      <c r="K31" s="19">
        <f t="shared" si="4"/>
        <v>3.6571499999999997</v>
      </c>
      <c r="L31" s="19">
        <f t="shared" si="5"/>
        <v>4.876199999999999</v>
      </c>
      <c r="M31" s="18">
        <f t="shared" si="6"/>
        <v>3.9009599999999995</v>
      </c>
      <c r="N31" s="89">
        <f t="shared" si="7"/>
        <v>5.12001</v>
      </c>
      <c r="O31" s="19">
        <f t="shared" si="8"/>
        <v>4.876199999999999</v>
      </c>
      <c r="P31" s="52">
        <f t="shared" si="9"/>
        <v>5.36382</v>
      </c>
      <c r="Q31" s="52">
        <f t="shared" si="10"/>
        <v>5.12001</v>
      </c>
      <c r="R31" s="52">
        <f t="shared" si="11"/>
        <v>4.144769999999999</v>
      </c>
      <c r="S31" s="52">
        <f t="shared" si="12"/>
        <v>5.36382</v>
      </c>
      <c r="T31" s="54">
        <f t="shared" si="13"/>
        <v>42.42293999999999</v>
      </c>
    </row>
    <row r="32" spans="1:20" s="1" customFormat="1" ht="12.75">
      <c r="A32" s="50" t="s">
        <v>37</v>
      </c>
      <c r="B32" s="81">
        <v>43</v>
      </c>
      <c r="C32" s="55">
        <f t="shared" si="0"/>
        <v>86.86601999999999</v>
      </c>
      <c r="D32" s="75">
        <v>24</v>
      </c>
      <c r="E32" s="125">
        <f t="shared" si="1"/>
        <v>48.48336</v>
      </c>
      <c r="F32" s="125">
        <v>3</v>
      </c>
      <c r="G32" s="52">
        <f t="shared" si="2"/>
        <v>6.06042</v>
      </c>
      <c r="H32" s="56"/>
      <c r="I32" s="52"/>
      <c r="J32" s="54">
        <f t="shared" si="3"/>
        <v>141.4098</v>
      </c>
      <c r="K32" s="19">
        <f t="shared" si="4"/>
        <v>12.1905</v>
      </c>
      <c r="L32" s="19">
        <f t="shared" si="5"/>
        <v>16.253999999999998</v>
      </c>
      <c r="M32" s="18">
        <f t="shared" si="6"/>
        <v>13.0032</v>
      </c>
      <c r="N32" s="89">
        <f t="shared" si="7"/>
        <v>17.0667</v>
      </c>
      <c r="O32" s="19">
        <f t="shared" si="8"/>
        <v>16.253999999999998</v>
      </c>
      <c r="P32" s="52">
        <f t="shared" si="9"/>
        <v>17.8794</v>
      </c>
      <c r="Q32" s="52">
        <f t="shared" si="10"/>
        <v>17.0667</v>
      </c>
      <c r="R32" s="52">
        <f t="shared" si="11"/>
        <v>13.8159</v>
      </c>
      <c r="S32" s="52">
        <f t="shared" si="12"/>
        <v>17.8794</v>
      </c>
      <c r="T32" s="54">
        <f t="shared" si="13"/>
        <v>141.4098</v>
      </c>
    </row>
    <row r="33" spans="1:20" s="1" customFormat="1" ht="12.75">
      <c r="A33" s="50" t="s">
        <v>38</v>
      </c>
      <c r="B33" s="81">
        <v>28</v>
      </c>
      <c r="C33" s="55">
        <f t="shared" si="0"/>
        <v>56.563919999999996</v>
      </c>
      <c r="D33" s="75">
        <v>5</v>
      </c>
      <c r="E33" s="125">
        <f t="shared" si="1"/>
        <v>10.1007</v>
      </c>
      <c r="F33" s="125">
        <v>1</v>
      </c>
      <c r="G33" s="52">
        <f t="shared" si="2"/>
        <v>2.02014</v>
      </c>
      <c r="H33" s="56"/>
      <c r="I33" s="52"/>
      <c r="J33" s="54">
        <f t="shared" si="3"/>
        <v>68.68476</v>
      </c>
      <c r="K33" s="19">
        <f t="shared" si="4"/>
        <v>5.9211</v>
      </c>
      <c r="L33" s="19">
        <f t="shared" si="5"/>
        <v>7.8948</v>
      </c>
      <c r="M33" s="18">
        <f t="shared" si="6"/>
        <v>6.31584</v>
      </c>
      <c r="N33" s="89">
        <f t="shared" si="7"/>
        <v>8.289539999999999</v>
      </c>
      <c r="O33" s="19">
        <f t="shared" si="8"/>
        <v>7.8948</v>
      </c>
      <c r="P33" s="52">
        <f t="shared" si="9"/>
        <v>8.68428</v>
      </c>
      <c r="Q33" s="52">
        <f t="shared" si="10"/>
        <v>8.289539999999999</v>
      </c>
      <c r="R33" s="52">
        <f t="shared" si="11"/>
        <v>6.710579999999999</v>
      </c>
      <c r="S33" s="52">
        <f t="shared" si="12"/>
        <v>8.68428</v>
      </c>
      <c r="T33" s="54">
        <f t="shared" si="13"/>
        <v>68.68476</v>
      </c>
    </row>
    <row r="34" spans="1:20" s="1" customFormat="1" ht="12.75">
      <c r="A34" s="50" t="s">
        <v>39</v>
      </c>
      <c r="B34" s="81">
        <v>13</v>
      </c>
      <c r="C34" s="55">
        <f t="shared" si="0"/>
        <v>26.26182</v>
      </c>
      <c r="D34" s="75">
        <v>0</v>
      </c>
      <c r="E34" s="125">
        <f t="shared" si="1"/>
        <v>0</v>
      </c>
      <c r="F34" s="125">
        <v>0</v>
      </c>
      <c r="G34" s="52">
        <f t="shared" si="2"/>
        <v>0</v>
      </c>
      <c r="H34" s="56"/>
      <c r="I34" s="52"/>
      <c r="J34" s="54">
        <f t="shared" si="3"/>
        <v>26.26182</v>
      </c>
      <c r="K34" s="19">
        <f t="shared" si="4"/>
        <v>2.2639500000000004</v>
      </c>
      <c r="L34" s="19">
        <f t="shared" si="5"/>
        <v>3.0186</v>
      </c>
      <c r="M34" s="18">
        <f t="shared" si="6"/>
        <v>2.41488</v>
      </c>
      <c r="N34" s="89">
        <f t="shared" si="7"/>
        <v>3.16953</v>
      </c>
      <c r="O34" s="19">
        <f t="shared" si="8"/>
        <v>3.0186</v>
      </c>
      <c r="P34" s="52">
        <f t="shared" si="9"/>
        <v>3.32046</v>
      </c>
      <c r="Q34" s="52">
        <f t="shared" si="10"/>
        <v>3.16953</v>
      </c>
      <c r="R34" s="52">
        <f t="shared" si="11"/>
        <v>2.56581</v>
      </c>
      <c r="S34" s="52">
        <f t="shared" si="12"/>
        <v>3.32046</v>
      </c>
      <c r="T34" s="54">
        <f t="shared" si="13"/>
        <v>26.261820000000004</v>
      </c>
    </row>
    <row r="35" spans="1:20" s="1" customFormat="1" ht="12.75">
      <c r="A35" s="50" t="s">
        <v>40</v>
      </c>
      <c r="B35" s="81">
        <v>7</v>
      </c>
      <c r="C35" s="55">
        <f t="shared" si="0"/>
        <v>14.140979999999999</v>
      </c>
      <c r="D35" s="75">
        <v>3</v>
      </c>
      <c r="E35" s="125">
        <f t="shared" si="1"/>
        <v>6.06042</v>
      </c>
      <c r="F35" s="125">
        <v>2</v>
      </c>
      <c r="G35" s="52">
        <f t="shared" si="2"/>
        <v>4.04028</v>
      </c>
      <c r="H35" s="56"/>
      <c r="I35" s="52"/>
      <c r="J35" s="54">
        <f t="shared" si="3"/>
        <v>24.24168</v>
      </c>
      <c r="K35" s="19">
        <f t="shared" si="4"/>
        <v>2.0898</v>
      </c>
      <c r="L35" s="19">
        <f t="shared" si="5"/>
        <v>2.7864</v>
      </c>
      <c r="M35" s="18">
        <f t="shared" si="6"/>
        <v>2.22912</v>
      </c>
      <c r="N35" s="89">
        <f t="shared" si="7"/>
        <v>2.92572</v>
      </c>
      <c r="O35" s="19">
        <f t="shared" si="8"/>
        <v>2.7864</v>
      </c>
      <c r="P35" s="52">
        <f t="shared" si="9"/>
        <v>3.0650399999999998</v>
      </c>
      <c r="Q35" s="52">
        <f t="shared" si="10"/>
        <v>2.92572</v>
      </c>
      <c r="R35" s="52">
        <f t="shared" si="11"/>
        <v>2.36844</v>
      </c>
      <c r="S35" s="52">
        <f t="shared" si="12"/>
        <v>3.0650399999999998</v>
      </c>
      <c r="T35" s="54">
        <f t="shared" si="13"/>
        <v>24.24168</v>
      </c>
    </row>
    <row r="36" spans="1:20" s="1" customFormat="1" ht="12.75">
      <c r="A36" s="50" t="s">
        <v>41</v>
      </c>
      <c r="B36" s="81">
        <v>3</v>
      </c>
      <c r="C36" s="55">
        <f t="shared" si="0"/>
        <v>6.06042</v>
      </c>
      <c r="D36" s="75">
        <v>0</v>
      </c>
      <c r="E36" s="125">
        <f t="shared" si="1"/>
        <v>0</v>
      </c>
      <c r="F36" s="125">
        <v>0</v>
      </c>
      <c r="G36" s="52">
        <f t="shared" si="2"/>
        <v>0</v>
      </c>
      <c r="H36" s="56"/>
      <c r="I36" s="54"/>
      <c r="J36" s="54">
        <f t="shared" si="3"/>
        <v>6.06042</v>
      </c>
      <c r="K36" s="19">
        <f t="shared" si="4"/>
        <v>0.52245</v>
      </c>
      <c r="L36" s="19">
        <f t="shared" si="5"/>
        <v>0.6966</v>
      </c>
      <c r="M36" s="18">
        <f t="shared" si="6"/>
        <v>0.55728</v>
      </c>
      <c r="N36" s="89">
        <f t="shared" si="7"/>
        <v>0.73143</v>
      </c>
      <c r="O36" s="19">
        <f t="shared" si="8"/>
        <v>0.6966</v>
      </c>
      <c r="P36" s="52">
        <f t="shared" si="9"/>
        <v>0.7662599999999999</v>
      </c>
      <c r="Q36" s="52">
        <f t="shared" si="10"/>
        <v>0.73143</v>
      </c>
      <c r="R36" s="52">
        <f t="shared" si="11"/>
        <v>0.59211</v>
      </c>
      <c r="S36" s="52">
        <f t="shared" si="12"/>
        <v>0.7662599999999999</v>
      </c>
      <c r="T36" s="54">
        <f t="shared" si="13"/>
        <v>6.06042</v>
      </c>
    </row>
    <row r="37" spans="1:20" s="1" customFormat="1" ht="12.75">
      <c r="A37" s="50" t="s">
        <v>42</v>
      </c>
      <c r="B37" s="81">
        <v>4</v>
      </c>
      <c r="C37" s="55">
        <f t="shared" si="0"/>
        <v>8.08056</v>
      </c>
      <c r="D37" s="75">
        <v>0</v>
      </c>
      <c r="E37" s="125">
        <f t="shared" si="1"/>
        <v>0</v>
      </c>
      <c r="F37" s="125">
        <v>0</v>
      </c>
      <c r="G37" s="52">
        <f t="shared" si="2"/>
        <v>0</v>
      </c>
      <c r="H37" s="56"/>
      <c r="I37" s="54"/>
      <c r="J37" s="54">
        <f t="shared" si="3"/>
        <v>8.08056</v>
      </c>
      <c r="K37" s="19">
        <f t="shared" si="4"/>
        <v>0.6966</v>
      </c>
      <c r="L37" s="19">
        <f t="shared" si="5"/>
        <v>0.9288000000000001</v>
      </c>
      <c r="M37" s="18">
        <f t="shared" si="6"/>
        <v>0.74304</v>
      </c>
      <c r="N37" s="89">
        <f t="shared" si="7"/>
        <v>0.97524</v>
      </c>
      <c r="O37" s="19">
        <f t="shared" si="8"/>
        <v>0.9288000000000001</v>
      </c>
      <c r="P37" s="52">
        <f t="shared" si="9"/>
        <v>1.0216800000000001</v>
      </c>
      <c r="Q37" s="52">
        <f t="shared" si="10"/>
        <v>0.97524</v>
      </c>
      <c r="R37" s="52">
        <f t="shared" si="11"/>
        <v>0.7894800000000001</v>
      </c>
      <c r="S37" s="52">
        <f t="shared" si="12"/>
        <v>1.0216800000000001</v>
      </c>
      <c r="T37" s="54">
        <f t="shared" si="13"/>
        <v>8.08056</v>
      </c>
    </row>
    <row r="38" spans="1:20" s="1" customFormat="1" ht="12.75">
      <c r="A38" s="59" t="s">
        <v>43</v>
      </c>
      <c r="B38" s="79">
        <f aca="true" t="shared" si="14" ref="B38:O38">SUM(B16:B37)</f>
        <v>830</v>
      </c>
      <c r="C38" s="60">
        <f t="shared" si="14"/>
        <v>1676.7162</v>
      </c>
      <c r="D38" s="79">
        <f t="shared" si="14"/>
        <v>214</v>
      </c>
      <c r="E38" s="130">
        <f>SUM(E16:E37)</f>
        <v>432.30996000000005</v>
      </c>
      <c r="F38" s="79">
        <f>SUM(F16:F37)</f>
        <v>207</v>
      </c>
      <c r="G38" s="83">
        <f>SUM(G16:G37)</f>
        <v>418.1689800000002</v>
      </c>
      <c r="H38" s="61">
        <f t="shared" si="14"/>
        <v>75</v>
      </c>
      <c r="I38" s="63">
        <f t="shared" si="14"/>
        <v>269.091</v>
      </c>
      <c r="J38" s="63">
        <f t="shared" si="14"/>
        <v>2796.2861399999992</v>
      </c>
      <c r="K38" s="63">
        <f t="shared" si="14"/>
        <v>241.05914999999996</v>
      </c>
      <c r="L38" s="63">
        <f t="shared" si="14"/>
        <v>321.4121999999999</v>
      </c>
      <c r="M38" s="63">
        <f t="shared" si="14"/>
        <v>257.12976000000003</v>
      </c>
      <c r="N38" s="88">
        <f t="shared" si="14"/>
        <v>337.4828099999999</v>
      </c>
      <c r="O38" s="68">
        <f t="shared" si="14"/>
        <v>321.4121999999999</v>
      </c>
      <c r="P38" s="63">
        <f>SUM(P16:P37)</f>
        <v>353.55342</v>
      </c>
      <c r="Q38" s="63">
        <f>SUM(Q16:Q37)</f>
        <v>337.4828099999999</v>
      </c>
      <c r="R38" s="63">
        <f>SUM(R16:R37)</f>
        <v>273.20037</v>
      </c>
      <c r="S38" s="63">
        <f>SUM(S16:S37)</f>
        <v>353.55342</v>
      </c>
      <c r="T38" s="63">
        <f>SUM(T16:T37)</f>
        <v>2796.286139999999</v>
      </c>
    </row>
    <row r="39" spans="1:20" s="1" customFormat="1" ht="12.75">
      <c r="A39" s="65"/>
      <c r="B39" s="82"/>
      <c r="C39" s="68"/>
      <c r="D39" s="67"/>
      <c r="E39" s="68"/>
      <c r="F39" s="68"/>
      <c r="G39" s="68"/>
      <c r="H39" s="69"/>
      <c r="I39" s="68"/>
      <c r="J39" s="68"/>
      <c r="K39" s="84"/>
      <c r="L39" s="84"/>
      <c r="M39" s="84"/>
      <c r="N39" s="90"/>
      <c r="O39" s="84"/>
      <c r="P39" s="19">
        <v>330.8</v>
      </c>
      <c r="Q39" s="19">
        <v>315.8</v>
      </c>
      <c r="R39" s="19"/>
      <c r="S39" s="19"/>
      <c r="T39" s="19"/>
    </row>
    <row r="40" spans="1:20" s="1" customFormat="1" ht="12.75">
      <c r="A40" s="3"/>
      <c r="B40" s="138"/>
      <c r="C40" s="26"/>
      <c r="D40" s="139"/>
      <c r="E40" s="26"/>
      <c r="F40" s="26"/>
      <c r="G40" s="26"/>
      <c r="H40" s="140"/>
      <c r="I40" s="26"/>
      <c r="J40" s="26"/>
      <c r="K40" s="116"/>
      <c r="L40" s="116"/>
      <c r="M40" s="116"/>
      <c r="N40" s="116"/>
      <c r="O40" s="116"/>
      <c r="P40" s="116"/>
      <c r="Q40" s="116"/>
      <c r="R40" s="116"/>
      <c r="S40" s="116"/>
      <c r="T40" s="116"/>
    </row>
    <row r="41" spans="1:17" s="1" customFormat="1" ht="12.75">
      <c r="A41" t="s">
        <v>72</v>
      </c>
      <c r="B41"/>
      <c r="C41"/>
      <c r="D41"/>
      <c r="E41" t="s">
        <v>44</v>
      </c>
      <c r="F41"/>
      <c r="G41"/>
      <c r="H41"/>
      <c r="I41"/>
      <c r="J41"/>
      <c r="K41"/>
      <c r="L41"/>
      <c r="M41" s="142">
        <f>SUM(K38:O38)</f>
        <v>1478.4961199999998</v>
      </c>
      <c r="N41"/>
      <c r="O41"/>
      <c r="P41" s="26"/>
      <c r="Q41" s="26">
        <f>SUM(P38:S38)</f>
        <v>1317.79002</v>
      </c>
    </row>
    <row r="42" spans="1:17" s="1" customFormat="1" ht="12.75">
      <c r="A42"/>
      <c r="B42"/>
      <c r="C42"/>
      <c r="D42"/>
      <c r="E42"/>
      <c r="F42"/>
      <c r="G42"/>
      <c r="H42"/>
      <c r="I42" t="s">
        <v>109</v>
      </c>
      <c r="J42"/>
      <c r="K42"/>
      <c r="L42"/>
      <c r="M42"/>
      <c r="N42"/>
      <c r="O42"/>
      <c r="P42" s="24"/>
      <c r="Q42" s="24"/>
    </row>
    <row r="43" spans="1:5" ht="12.75">
      <c r="A43" t="s">
        <v>85</v>
      </c>
      <c r="E43" t="s">
        <v>87</v>
      </c>
    </row>
    <row r="45" spans="1:5" ht="12.75">
      <c r="A45" t="s">
        <v>86</v>
      </c>
      <c r="E45" t="s">
        <v>88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73"/>
  <sheetViews>
    <sheetView zoomScalePageLayoutView="0" workbookViewId="0" topLeftCell="A1">
      <selection activeCell="N31" sqref="N31"/>
    </sheetView>
  </sheetViews>
  <sheetFormatPr defaultColWidth="9.140625" defaultRowHeight="12.75"/>
  <cols>
    <col min="1" max="1" width="28.421875" style="0" customWidth="1"/>
    <col min="2" max="2" width="6.421875" style="0" customWidth="1"/>
    <col min="3" max="3" width="6.8515625" style="0" customWidth="1"/>
    <col min="4" max="4" width="8.57421875" style="0" customWidth="1"/>
    <col min="5" max="5" width="7.7109375" style="0" customWidth="1"/>
    <col min="6" max="7" width="8.57421875" style="0" customWidth="1"/>
    <col min="8" max="8" width="7.140625" style="0" customWidth="1"/>
    <col min="9" max="9" width="6.00390625" style="0" customWidth="1"/>
    <col min="10" max="10" width="7.421875" style="0" customWidth="1"/>
    <col min="11" max="11" width="6.7109375" style="0" customWidth="1"/>
    <col min="12" max="13" width="0" style="0" hidden="1" customWidth="1"/>
    <col min="14" max="14" width="6.28125" style="0" customWidth="1"/>
    <col min="15" max="15" width="6.8515625" style="0" customWidth="1"/>
    <col min="16" max="16" width="7.28125" style="0" customWidth="1"/>
    <col min="17" max="17" width="6.140625" style="0" customWidth="1"/>
    <col min="18" max="19" width="6.57421875" style="0" customWidth="1"/>
    <col min="20" max="20" width="6.8515625" style="0" customWidth="1"/>
    <col min="21" max="21" width="6.7109375" style="0" customWidth="1"/>
    <col min="22" max="22" width="6.28125" style="0" customWidth="1"/>
    <col min="23" max="23" width="5.421875" style="0" customWidth="1"/>
    <col min="24" max="24" width="6.421875" style="0" customWidth="1"/>
    <col min="25" max="25" width="7.57421875" style="0" customWidth="1"/>
    <col min="27" max="27" width="7.57421875" style="0" customWidth="1"/>
  </cols>
  <sheetData>
    <row r="1" ht="12.75">
      <c r="I1" t="s">
        <v>62</v>
      </c>
    </row>
    <row r="2" ht="12.75">
      <c r="I2" t="s">
        <v>63</v>
      </c>
    </row>
    <row r="3" spans="1:29" s="1" customFormat="1" ht="12.75">
      <c r="A3" s="3"/>
      <c r="B3" s="22"/>
      <c r="C3"/>
      <c r="D3"/>
      <c r="E3"/>
      <c r="F3"/>
      <c r="G3"/>
      <c r="H3"/>
      <c r="I3" t="s">
        <v>64</v>
      </c>
      <c r="J3"/>
      <c r="K3"/>
      <c r="L3"/>
      <c r="M3"/>
      <c r="N3"/>
      <c r="O3"/>
      <c r="P3"/>
      <c r="Q3"/>
      <c r="R3" s="23"/>
      <c r="S3" s="23"/>
      <c r="T3" s="22"/>
      <c r="U3" s="26"/>
      <c r="V3" s="25"/>
      <c r="W3" s="26"/>
      <c r="X3" s="26"/>
      <c r="Y3" s="3"/>
      <c r="Z3" s="3"/>
      <c r="AA3" s="26"/>
      <c r="AB3" s="26"/>
      <c r="AC3" s="26"/>
    </row>
    <row r="4" spans="4:28" ht="12.75">
      <c r="D4" t="s">
        <v>66</v>
      </c>
      <c r="I4" t="s">
        <v>65</v>
      </c>
      <c r="N4" s="2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2.75">
      <c r="A5" t="s">
        <v>67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9" ht="12.75">
      <c r="A6" s="29"/>
      <c r="B6" s="30" t="s">
        <v>0</v>
      </c>
      <c r="C6" s="31" t="s">
        <v>1</v>
      </c>
      <c r="D6" s="72" t="s">
        <v>2</v>
      </c>
      <c r="E6" s="73" t="s">
        <v>0</v>
      </c>
      <c r="F6" s="31" t="s">
        <v>1</v>
      </c>
      <c r="G6" s="72" t="s">
        <v>2</v>
      </c>
      <c r="H6" s="32" t="s">
        <v>0</v>
      </c>
      <c r="I6" s="33" t="s">
        <v>1</v>
      </c>
      <c r="J6" s="32" t="s">
        <v>2</v>
      </c>
      <c r="K6" s="32" t="s">
        <v>0</v>
      </c>
      <c r="L6" s="30"/>
      <c r="M6" s="31"/>
      <c r="N6" s="33" t="s">
        <v>1</v>
      </c>
      <c r="O6" s="32" t="s">
        <v>2</v>
      </c>
      <c r="P6" s="4"/>
      <c r="Q6" s="4" t="s">
        <v>3</v>
      </c>
      <c r="R6" s="4" t="s">
        <v>3</v>
      </c>
      <c r="S6" s="4" t="s">
        <v>3</v>
      </c>
      <c r="T6" s="14" t="s">
        <v>3</v>
      </c>
      <c r="U6" s="64">
        <v>2010</v>
      </c>
      <c r="V6" s="64">
        <v>2010</v>
      </c>
      <c r="W6" s="64">
        <v>2010</v>
      </c>
      <c r="X6" s="64">
        <v>2010</v>
      </c>
      <c r="Y6" s="64">
        <v>2010</v>
      </c>
      <c r="Z6" s="27"/>
      <c r="AA6" s="92" t="s">
        <v>3</v>
      </c>
      <c r="AB6" s="27"/>
      <c r="AC6" s="5"/>
    </row>
    <row r="7" spans="1:29" ht="12.75">
      <c r="A7" s="34"/>
      <c r="B7" s="35" t="s">
        <v>4</v>
      </c>
      <c r="C7" s="36">
        <v>11.61</v>
      </c>
      <c r="E7" s="21" t="s">
        <v>57</v>
      </c>
      <c r="F7" s="36">
        <v>11.61</v>
      </c>
      <c r="H7" s="20" t="s">
        <v>4</v>
      </c>
      <c r="I7" s="9">
        <v>20.62</v>
      </c>
      <c r="K7" s="20" t="s">
        <v>4</v>
      </c>
      <c r="L7" s="35"/>
      <c r="M7" s="8"/>
      <c r="N7" s="9" t="s">
        <v>68</v>
      </c>
      <c r="P7" s="6" t="s">
        <v>5</v>
      </c>
      <c r="Q7" s="20" t="s">
        <v>6</v>
      </c>
      <c r="R7" s="20" t="s">
        <v>7</v>
      </c>
      <c r="S7" s="20" t="s">
        <v>52</v>
      </c>
      <c r="T7" s="37" t="s">
        <v>8</v>
      </c>
      <c r="U7" s="17" t="s">
        <v>45</v>
      </c>
      <c r="V7" s="17" t="s">
        <v>54</v>
      </c>
      <c r="W7" s="17" t="s">
        <v>46</v>
      </c>
      <c r="X7" s="17" t="s">
        <v>47</v>
      </c>
      <c r="Y7" s="21" t="s">
        <v>48</v>
      </c>
      <c r="Z7" s="27"/>
      <c r="AA7" s="93"/>
      <c r="AB7" s="1"/>
      <c r="AC7" s="5"/>
    </row>
    <row r="8" spans="1:29" ht="12.75">
      <c r="A8" s="34" t="s">
        <v>9</v>
      </c>
      <c r="B8" s="87" t="s">
        <v>10</v>
      </c>
      <c r="C8" s="38" t="s">
        <v>11</v>
      </c>
      <c r="E8" s="21" t="s">
        <v>58</v>
      </c>
      <c r="F8" s="38" t="s">
        <v>11</v>
      </c>
      <c r="H8" s="6" t="s">
        <v>12</v>
      </c>
      <c r="I8" s="39" t="s">
        <v>11</v>
      </c>
      <c r="K8" s="9" t="s">
        <v>13</v>
      </c>
      <c r="L8" s="40"/>
      <c r="M8" s="41"/>
      <c r="N8" s="39" t="s">
        <v>14</v>
      </c>
      <c r="P8" s="42">
        <v>40057</v>
      </c>
      <c r="Q8" s="20" t="s">
        <v>15</v>
      </c>
      <c r="R8" s="20" t="s">
        <v>15</v>
      </c>
      <c r="S8" s="37" t="s">
        <v>15</v>
      </c>
      <c r="T8" s="37" t="s">
        <v>15</v>
      </c>
      <c r="U8" s="17" t="s">
        <v>56</v>
      </c>
      <c r="V8" s="17" t="s">
        <v>55</v>
      </c>
      <c r="W8" s="17"/>
      <c r="X8" s="17" t="s">
        <v>53</v>
      </c>
      <c r="Y8" s="17"/>
      <c r="Z8" s="43"/>
      <c r="AA8" s="21" t="s">
        <v>7</v>
      </c>
      <c r="AB8" s="1"/>
      <c r="AC8" s="1"/>
    </row>
    <row r="9" spans="1:29" ht="12.75">
      <c r="A9" s="34"/>
      <c r="B9" s="35" t="s">
        <v>16</v>
      </c>
      <c r="C9" s="8" t="s">
        <v>14</v>
      </c>
      <c r="D9" s="37" t="s">
        <v>50</v>
      </c>
      <c r="E9" s="85" t="s">
        <v>59</v>
      </c>
      <c r="F9" s="8" t="s">
        <v>14</v>
      </c>
      <c r="G9" s="37" t="s">
        <v>50</v>
      </c>
      <c r="H9" s="44"/>
      <c r="I9" s="39" t="s">
        <v>14</v>
      </c>
      <c r="J9" s="20" t="s">
        <v>51</v>
      </c>
      <c r="K9" s="9" t="s">
        <v>17</v>
      </c>
      <c r="L9" s="40"/>
      <c r="M9" s="20"/>
      <c r="N9" s="20"/>
      <c r="O9" s="20" t="s">
        <v>50</v>
      </c>
      <c r="P9" s="42">
        <v>40299</v>
      </c>
      <c r="Q9" s="7"/>
      <c r="R9" s="7"/>
      <c r="S9" s="7"/>
      <c r="T9" s="15"/>
      <c r="U9" s="17"/>
      <c r="V9" s="17"/>
      <c r="W9" s="17"/>
      <c r="X9" s="21"/>
      <c r="Y9" s="17"/>
      <c r="Z9" s="27"/>
      <c r="AA9" s="21" t="s">
        <v>15</v>
      </c>
      <c r="AB9" s="27"/>
      <c r="AC9" s="1"/>
    </row>
    <row r="10" spans="2:29" ht="12.75">
      <c r="B10" s="20">
        <v>2009</v>
      </c>
      <c r="C10" s="8"/>
      <c r="D10" s="41"/>
      <c r="E10" s="86" t="s">
        <v>60</v>
      </c>
      <c r="F10" s="45"/>
      <c r="G10" s="41"/>
      <c r="H10" s="20"/>
      <c r="I10" s="16"/>
      <c r="J10" s="44"/>
      <c r="K10" s="9" t="s">
        <v>18</v>
      </c>
      <c r="L10" s="35"/>
      <c r="M10" s="20"/>
      <c r="N10" s="20"/>
      <c r="O10" s="20"/>
      <c r="P10" s="6" t="s">
        <v>50</v>
      </c>
      <c r="Q10" s="20">
        <v>21</v>
      </c>
      <c r="R10" s="20">
        <v>23</v>
      </c>
      <c r="S10" s="20">
        <v>15</v>
      </c>
      <c r="T10" s="37">
        <v>21</v>
      </c>
      <c r="U10" s="21">
        <v>15</v>
      </c>
      <c r="V10" s="21">
        <v>20</v>
      </c>
      <c r="W10" s="21">
        <v>16</v>
      </c>
      <c r="X10" s="45">
        <v>22</v>
      </c>
      <c r="Y10" s="17">
        <v>21</v>
      </c>
      <c r="Z10" s="27"/>
      <c r="AA10" s="21" t="s">
        <v>69</v>
      </c>
      <c r="AB10" s="27"/>
      <c r="AC10" s="5"/>
    </row>
    <row r="11" spans="2:29" ht="12.75">
      <c r="B11" s="40"/>
      <c r="C11" s="8"/>
      <c r="D11" s="37" t="s">
        <v>19</v>
      </c>
      <c r="E11" s="85" t="s">
        <v>61</v>
      </c>
      <c r="F11" s="21"/>
      <c r="G11" s="37" t="s">
        <v>19</v>
      </c>
      <c r="H11" s="20"/>
      <c r="I11" s="16"/>
      <c r="J11" s="20" t="s">
        <v>19</v>
      </c>
      <c r="K11" s="34"/>
      <c r="L11" s="46"/>
      <c r="M11" s="20"/>
      <c r="N11" s="20"/>
      <c r="O11" s="20" t="s">
        <v>19</v>
      </c>
      <c r="P11" s="6" t="s">
        <v>19</v>
      </c>
      <c r="Q11" s="20" t="s">
        <v>49</v>
      </c>
      <c r="R11" s="20" t="s">
        <v>49</v>
      </c>
      <c r="S11" s="20" t="s">
        <v>49</v>
      </c>
      <c r="T11" s="20" t="s">
        <v>49</v>
      </c>
      <c r="U11" s="20" t="s">
        <v>49</v>
      </c>
      <c r="V11" s="20" t="s">
        <v>49</v>
      </c>
      <c r="W11" s="20" t="s">
        <v>49</v>
      </c>
      <c r="X11" s="20" t="s">
        <v>49</v>
      </c>
      <c r="Y11" s="20" t="s">
        <v>49</v>
      </c>
      <c r="Z11" s="27"/>
      <c r="AA11" s="94"/>
      <c r="AB11" s="27"/>
      <c r="AC11" s="5"/>
    </row>
    <row r="12" spans="1:29" ht="12.75">
      <c r="A12" s="34"/>
      <c r="B12" s="47"/>
      <c r="C12" s="8"/>
      <c r="D12" s="37" t="s">
        <v>11</v>
      </c>
      <c r="E12" s="74"/>
      <c r="F12" s="74"/>
      <c r="G12" s="37" t="s">
        <v>11</v>
      </c>
      <c r="H12" s="39"/>
      <c r="I12" s="9"/>
      <c r="J12" s="20" t="s">
        <v>11</v>
      </c>
      <c r="K12" s="47"/>
      <c r="L12" s="35"/>
      <c r="M12" s="20"/>
      <c r="N12" s="20"/>
      <c r="O12" s="20" t="s">
        <v>11</v>
      </c>
      <c r="P12" s="9" t="s">
        <v>20</v>
      </c>
      <c r="Q12" s="9"/>
      <c r="R12" s="9"/>
      <c r="S12" s="9"/>
      <c r="T12" s="16"/>
      <c r="U12" s="48"/>
      <c r="V12" s="48"/>
      <c r="W12" s="48"/>
      <c r="X12" s="49"/>
      <c r="Y12" s="49"/>
      <c r="Z12" s="27"/>
      <c r="AA12" s="49"/>
      <c r="AB12" s="1"/>
      <c r="AC12" s="3"/>
    </row>
    <row r="13" spans="1:29" ht="12.75">
      <c r="A13" s="50" t="s">
        <v>21</v>
      </c>
      <c r="B13" s="80">
        <v>73</v>
      </c>
      <c r="C13" s="51">
        <f aca="true" t="shared" si="0" ref="C13:C34">B13*11.61</f>
        <v>847.53</v>
      </c>
      <c r="D13" s="52">
        <f>C13*174/1000</f>
        <v>147.47022</v>
      </c>
      <c r="E13" s="75">
        <v>21</v>
      </c>
      <c r="F13" s="51">
        <f>11.61*E13</f>
        <v>243.81</v>
      </c>
      <c r="G13" s="52">
        <f>F13*174/1000</f>
        <v>42.422940000000004</v>
      </c>
      <c r="H13" s="50"/>
      <c r="I13" s="53"/>
      <c r="J13" s="54"/>
      <c r="K13" s="54"/>
      <c r="L13" s="53"/>
      <c r="M13" s="53"/>
      <c r="N13" s="54"/>
      <c r="O13" s="54"/>
      <c r="P13" s="54">
        <f>D13+G13+J13+O13</f>
        <v>189.89316000000002</v>
      </c>
      <c r="Q13" s="52">
        <f>P13/174*21</f>
        <v>22.918140000000005</v>
      </c>
      <c r="R13" s="52">
        <f>P13/174*23</f>
        <v>25.100820000000006</v>
      </c>
      <c r="S13" s="52">
        <f>P13/174*15</f>
        <v>16.370100000000004</v>
      </c>
      <c r="T13" s="55">
        <f>P13/174*21</f>
        <v>22.918140000000005</v>
      </c>
      <c r="U13" s="18">
        <f>P13/174*15</f>
        <v>16.370100000000004</v>
      </c>
      <c r="V13" s="19">
        <f>P13/174*20</f>
        <v>21.826800000000006</v>
      </c>
      <c r="W13" s="18">
        <f>P13/174*16</f>
        <v>17.461440000000003</v>
      </c>
      <c r="X13" s="19">
        <f>P13/174*22</f>
        <v>24.009480000000003</v>
      </c>
      <c r="Y13" s="89">
        <f>P13/174*21</f>
        <v>22.918140000000005</v>
      </c>
      <c r="Z13" s="19"/>
      <c r="AA13" s="19">
        <f>R13/23*10</f>
        <v>10.913400000000003</v>
      </c>
      <c r="AB13" s="26"/>
      <c r="AC13" s="26"/>
    </row>
    <row r="14" spans="1:29" ht="12.75">
      <c r="A14" s="39" t="s">
        <v>22</v>
      </c>
      <c r="B14" s="20">
        <v>56</v>
      </c>
      <c r="C14" s="51">
        <f t="shared" si="0"/>
        <v>650.16</v>
      </c>
      <c r="D14" s="52">
        <f aca="true" t="shared" si="1" ref="D14:D34">C14*174/1000</f>
        <v>113.12783999999999</v>
      </c>
      <c r="E14" s="76">
        <v>14</v>
      </c>
      <c r="F14" s="51">
        <f aca="true" t="shared" si="2" ref="F14:F34">11.61*E14</f>
        <v>162.54</v>
      </c>
      <c r="G14" s="52">
        <f aca="true" t="shared" si="3" ref="G14:G34">F14*174/1000</f>
        <v>28.281959999999998</v>
      </c>
      <c r="H14" s="39"/>
      <c r="I14" s="9"/>
      <c r="J14" s="54"/>
      <c r="K14" s="54"/>
      <c r="L14" s="53"/>
      <c r="M14" s="53"/>
      <c r="N14" s="54"/>
      <c r="O14" s="54"/>
      <c r="P14" s="54">
        <f aca="true" t="shared" si="4" ref="P14:P34">D14+G14+J14+O14</f>
        <v>141.4098</v>
      </c>
      <c r="Q14" s="52">
        <f aca="true" t="shared" si="5" ref="Q14:Q34">P14/174*21</f>
        <v>17.0667</v>
      </c>
      <c r="R14" s="52">
        <f aca="true" t="shared" si="6" ref="R14:R34">P14/174*23</f>
        <v>18.6921</v>
      </c>
      <c r="S14" s="52">
        <f aca="true" t="shared" si="7" ref="S14:S34">P14/174*15</f>
        <v>12.1905</v>
      </c>
      <c r="T14" s="55">
        <f aca="true" t="shared" si="8" ref="T14:T34">P14/174*21</f>
        <v>17.0667</v>
      </c>
      <c r="U14" s="19">
        <f aca="true" t="shared" si="9" ref="U14:U34">P14/174*15</f>
        <v>12.1905</v>
      </c>
      <c r="V14" s="19">
        <f aca="true" t="shared" si="10" ref="V14:V34">P14/174*20</f>
        <v>16.253999999999998</v>
      </c>
      <c r="W14" s="18">
        <f aca="true" t="shared" si="11" ref="W14:W34">P14/174*16</f>
        <v>13.0032</v>
      </c>
      <c r="X14" s="19">
        <f aca="true" t="shared" si="12" ref="X14:X34">P14/174*22</f>
        <v>17.8794</v>
      </c>
      <c r="Y14" s="89">
        <f aca="true" t="shared" si="13" ref="Y14:Y34">P14/174*21</f>
        <v>17.0667</v>
      </c>
      <c r="Z14" s="65"/>
      <c r="AA14" s="19">
        <f aca="true" t="shared" si="14" ref="AA14:AA34">R14/23*10</f>
        <v>8.126999999999999</v>
      </c>
      <c r="AB14" s="26"/>
      <c r="AC14" s="26"/>
    </row>
    <row r="15" spans="1:29" s="1" customFormat="1" ht="12.75">
      <c r="A15" s="50" t="s">
        <v>23</v>
      </c>
      <c r="B15" s="80">
        <v>56</v>
      </c>
      <c r="C15" s="51">
        <f t="shared" si="0"/>
        <v>650.16</v>
      </c>
      <c r="D15" s="52">
        <f t="shared" si="1"/>
        <v>113.12783999999999</v>
      </c>
      <c r="E15" s="77">
        <v>7</v>
      </c>
      <c r="F15" s="51">
        <f t="shared" si="2"/>
        <v>81.27</v>
      </c>
      <c r="G15" s="52">
        <f t="shared" si="3"/>
        <v>14.140979999999999</v>
      </c>
      <c r="H15" s="33"/>
      <c r="I15" s="59"/>
      <c r="J15" s="54"/>
      <c r="K15" s="54"/>
      <c r="L15" s="53"/>
      <c r="M15" s="53"/>
      <c r="N15" s="54"/>
      <c r="O15" s="54"/>
      <c r="P15" s="54">
        <f t="shared" si="4"/>
        <v>127.26881999999999</v>
      </c>
      <c r="Q15" s="52">
        <f t="shared" si="5"/>
        <v>15.360029999999998</v>
      </c>
      <c r="R15" s="52">
        <f t="shared" si="6"/>
        <v>16.822889999999997</v>
      </c>
      <c r="S15" s="52">
        <f t="shared" si="7"/>
        <v>10.971449999999999</v>
      </c>
      <c r="T15" s="55">
        <f t="shared" si="8"/>
        <v>15.360029999999998</v>
      </c>
      <c r="U15" s="19">
        <f t="shared" si="9"/>
        <v>10.971449999999999</v>
      </c>
      <c r="V15" s="19">
        <f t="shared" si="10"/>
        <v>14.628599999999999</v>
      </c>
      <c r="W15" s="18">
        <f t="shared" si="11"/>
        <v>11.702879999999999</v>
      </c>
      <c r="X15" s="19">
        <f t="shared" si="12"/>
        <v>16.091459999999998</v>
      </c>
      <c r="Y15" s="89">
        <f t="shared" si="13"/>
        <v>15.360029999999998</v>
      </c>
      <c r="Z15" s="65"/>
      <c r="AA15" s="19">
        <f t="shared" si="14"/>
        <v>7.314299999999999</v>
      </c>
      <c r="AB15" s="26"/>
      <c r="AC15" s="26"/>
    </row>
    <row r="16" spans="1:29" s="1" customFormat="1" ht="12.75">
      <c r="A16" s="1" t="s">
        <v>24</v>
      </c>
      <c r="B16" s="80">
        <v>20</v>
      </c>
      <c r="C16" s="51">
        <f t="shared" si="0"/>
        <v>232.2</v>
      </c>
      <c r="D16" s="52">
        <f t="shared" si="1"/>
        <v>40.4028</v>
      </c>
      <c r="E16" s="78">
        <v>5</v>
      </c>
      <c r="F16" s="51">
        <f t="shared" si="2"/>
        <v>58.05</v>
      </c>
      <c r="G16" s="55">
        <f t="shared" si="3"/>
        <v>10.1007</v>
      </c>
      <c r="H16" s="18"/>
      <c r="I16" s="18"/>
      <c r="J16" s="71"/>
      <c r="K16" s="54"/>
      <c r="L16" s="53"/>
      <c r="M16" s="53"/>
      <c r="N16" s="54"/>
      <c r="O16" s="54"/>
      <c r="P16" s="54">
        <f t="shared" si="4"/>
        <v>50.5035</v>
      </c>
      <c r="Q16" s="52">
        <f t="shared" si="5"/>
        <v>6.09525</v>
      </c>
      <c r="R16" s="52">
        <f t="shared" si="6"/>
        <v>6.67575</v>
      </c>
      <c r="S16" s="52">
        <f t="shared" si="7"/>
        <v>4.35375</v>
      </c>
      <c r="T16" s="55">
        <f t="shared" si="8"/>
        <v>6.09525</v>
      </c>
      <c r="U16" s="19">
        <f t="shared" si="9"/>
        <v>4.35375</v>
      </c>
      <c r="V16" s="19">
        <f t="shared" si="10"/>
        <v>5.805</v>
      </c>
      <c r="W16" s="19">
        <f t="shared" si="11"/>
        <v>4.644</v>
      </c>
      <c r="X16" s="19">
        <f t="shared" si="12"/>
        <v>6.3855</v>
      </c>
      <c r="Y16" s="89">
        <f t="shared" si="13"/>
        <v>6.09525</v>
      </c>
      <c r="Z16" s="65"/>
      <c r="AA16" s="19">
        <f t="shared" si="14"/>
        <v>2.9025</v>
      </c>
      <c r="AB16" s="26"/>
      <c r="AC16" s="26"/>
    </row>
    <row r="17" spans="1:29" s="1" customFormat="1" ht="12.75">
      <c r="A17" s="50" t="s">
        <v>25</v>
      </c>
      <c r="B17" s="81">
        <v>165</v>
      </c>
      <c r="C17" s="51">
        <f t="shared" si="0"/>
        <v>1915.6499999999999</v>
      </c>
      <c r="D17" s="52">
        <f t="shared" si="1"/>
        <v>333.32309999999995</v>
      </c>
      <c r="E17" s="75">
        <v>29</v>
      </c>
      <c r="F17" s="51">
        <f t="shared" si="2"/>
        <v>336.69</v>
      </c>
      <c r="G17" s="52">
        <f t="shared" si="3"/>
        <v>58.58406</v>
      </c>
      <c r="H17" s="56">
        <v>25</v>
      </c>
      <c r="I17" s="56">
        <f>H17*20.62</f>
        <v>515.5</v>
      </c>
      <c r="J17" s="52">
        <f>I17*174/1000</f>
        <v>89.697</v>
      </c>
      <c r="K17" s="51">
        <v>50</v>
      </c>
      <c r="L17" s="53"/>
      <c r="M17" s="53"/>
      <c r="N17" s="51">
        <f>K17*11.61</f>
        <v>580.5</v>
      </c>
      <c r="O17" s="52">
        <f>N17*174/1000</f>
        <v>101.007</v>
      </c>
      <c r="P17" s="54">
        <f t="shared" si="4"/>
        <v>582.6111599999999</v>
      </c>
      <c r="Q17" s="52">
        <f t="shared" si="5"/>
        <v>70.31513999999999</v>
      </c>
      <c r="R17" s="52">
        <f t="shared" si="6"/>
        <v>77.01181999999999</v>
      </c>
      <c r="S17" s="52">
        <f t="shared" si="7"/>
        <v>50.22509999999999</v>
      </c>
      <c r="T17" s="55">
        <f t="shared" si="8"/>
        <v>70.31513999999999</v>
      </c>
      <c r="U17" s="19">
        <f t="shared" si="9"/>
        <v>50.22509999999999</v>
      </c>
      <c r="V17" s="19">
        <f t="shared" si="10"/>
        <v>66.96679999999999</v>
      </c>
      <c r="W17" s="19">
        <f t="shared" si="11"/>
        <v>53.57343999999999</v>
      </c>
      <c r="X17" s="19">
        <f t="shared" si="12"/>
        <v>73.66347999999999</v>
      </c>
      <c r="Y17" s="89">
        <f t="shared" si="13"/>
        <v>70.31513999999999</v>
      </c>
      <c r="Z17" s="65"/>
      <c r="AA17" s="19">
        <f t="shared" si="14"/>
        <v>33.483399999999996</v>
      </c>
      <c r="AB17" s="13"/>
      <c r="AC17" s="26"/>
    </row>
    <row r="18" spans="1:29" s="1" customFormat="1" ht="12.75">
      <c r="A18" s="50" t="s">
        <v>26</v>
      </c>
      <c r="B18" s="81">
        <v>138</v>
      </c>
      <c r="C18" s="51">
        <f t="shared" si="0"/>
        <v>1602.1799999999998</v>
      </c>
      <c r="D18" s="52">
        <f t="shared" si="1"/>
        <v>278.7793199999999</v>
      </c>
      <c r="E18" s="75">
        <v>18</v>
      </c>
      <c r="F18" s="51">
        <f t="shared" si="2"/>
        <v>208.98</v>
      </c>
      <c r="G18" s="52">
        <f t="shared" si="3"/>
        <v>36.362519999999996</v>
      </c>
      <c r="H18" s="56"/>
      <c r="I18" s="57"/>
      <c r="J18"/>
      <c r="K18" s="54"/>
      <c r="L18" s="53"/>
      <c r="M18" s="53"/>
      <c r="N18" s="54"/>
      <c r="O18" s="54"/>
      <c r="P18" s="54">
        <f t="shared" si="4"/>
        <v>315.14183999999995</v>
      </c>
      <c r="Q18" s="52">
        <f t="shared" si="5"/>
        <v>38.03435999999999</v>
      </c>
      <c r="R18" s="52">
        <f t="shared" si="6"/>
        <v>41.656679999999994</v>
      </c>
      <c r="S18" s="52">
        <f t="shared" si="7"/>
        <v>27.167399999999994</v>
      </c>
      <c r="T18" s="55">
        <f t="shared" si="8"/>
        <v>38.03435999999999</v>
      </c>
      <c r="U18" s="19">
        <f t="shared" si="9"/>
        <v>27.167399999999994</v>
      </c>
      <c r="V18" s="19">
        <f t="shared" si="10"/>
        <v>36.22319999999999</v>
      </c>
      <c r="W18" s="19">
        <f t="shared" si="11"/>
        <v>28.978559999999995</v>
      </c>
      <c r="X18" s="19">
        <f t="shared" si="12"/>
        <v>39.84551999999999</v>
      </c>
      <c r="Y18" s="89">
        <f t="shared" si="13"/>
        <v>38.03435999999999</v>
      </c>
      <c r="Z18" s="65"/>
      <c r="AA18" s="19">
        <f t="shared" si="14"/>
        <v>18.111599999999996</v>
      </c>
      <c r="AB18" s="26"/>
      <c r="AC18" s="26"/>
    </row>
    <row r="19" spans="1:29" s="1" customFormat="1" ht="12.75">
      <c r="A19" s="50" t="s">
        <v>27</v>
      </c>
      <c r="B19" s="81">
        <v>68</v>
      </c>
      <c r="C19" s="51">
        <f t="shared" si="0"/>
        <v>789.48</v>
      </c>
      <c r="D19" s="52">
        <f t="shared" si="1"/>
        <v>137.36952</v>
      </c>
      <c r="E19" s="75">
        <v>27</v>
      </c>
      <c r="F19" s="51">
        <f t="shared" si="2"/>
        <v>313.46999999999997</v>
      </c>
      <c r="G19" s="52">
        <f t="shared" si="3"/>
        <v>54.54377999999999</v>
      </c>
      <c r="H19" s="56">
        <v>50</v>
      </c>
      <c r="I19" s="57">
        <f>H19*20.62</f>
        <v>1031</v>
      </c>
      <c r="J19" s="52">
        <f>I19*174/1000</f>
        <v>179.394</v>
      </c>
      <c r="K19" s="54"/>
      <c r="L19" s="53"/>
      <c r="M19" s="53"/>
      <c r="N19" s="54"/>
      <c r="O19" s="54"/>
      <c r="P19" s="54">
        <f t="shared" si="4"/>
        <v>371.3073</v>
      </c>
      <c r="Q19" s="52">
        <f t="shared" si="5"/>
        <v>44.81295</v>
      </c>
      <c r="R19" s="52">
        <f t="shared" si="6"/>
        <v>49.08085</v>
      </c>
      <c r="S19" s="52">
        <f t="shared" si="7"/>
        <v>32.00925</v>
      </c>
      <c r="T19" s="55">
        <f t="shared" si="8"/>
        <v>44.81295</v>
      </c>
      <c r="U19" s="19">
        <f t="shared" si="9"/>
        <v>32.00925</v>
      </c>
      <c r="V19" s="19">
        <f t="shared" si="10"/>
        <v>42.679</v>
      </c>
      <c r="W19" s="19">
        <f t="shared" si="11"/>
        <v>34.1432</v>
      </c>
      <c r="X19" s="19">
        <f t="shared" si="12"/>
        <v>46.9469</v>
      </c>
      <c r="Y19" s="89">
        <f t="shared" si="13"/>
        <v>44.81295</v>
      </c>
      <c r="Z19" s="65"/>
      <c r="AA19" s="19">
        <f t="shared" si="14"/>
        <v>21.3395</v>
      </c>
      <c r="AB19" s="26"/>
      <c r="AC19" s="26"/>
    </row>
    <row r="20" spans="1:29" s="1" customFormat="1" ht="12.75">
      <c r="A20" s="50" t="s">
        <v>28</v>
      </c>
      <c r="B20" s="81">
        <v>38</v>
      </c>
      <c r="C20" s="51">
        <f t="shared" si="0"/>
        <v>441.17999999999995</v>
      </c>
      <c r="D20" s="52">
        <f t="shared" si="1"/>
        <v>76.76531999999999</v>
      </c>
      <c r="E20" s="75">
        <v>11</v>
      </c>
      <c r="F20" s="51">
        <f t="shared" si="2"/>
        <v>127.71</v>
      </c>
      <c r="G20" s="52">
        <f t="shared" si="3"/>
        <v>22.221539999999997</v>
      </c>
      <c r="H20" s="56"/>
      <c r="I20" s="57"/>
      <c r="J20" s="52"/>
      <c r="K20" s="54"/>
      <c r="L20" s="53"/>
      <c r="M20" s="53"/>
      <c r="N20" s="54"/>
      <c r="O20" s="54"/>
      <c r="P20" s="54">
        <f t="shared" si="4"/>
        <v>98.98685999999998</v>
      </c>
      <c r="Q20" s="52">
        <f t="shared" si="5"/>
        <v>11.946689999999998</v>
      </c>
      <c r="R20" s="52">
        <f t="shared" si="6"/>
        <v>13.084469999999998</v>
      </c>
      <c r="S20" s="52">
        <f t="shared" si="7"/>
        <v>8.533349999999999</v>
      </c>
      <c r="T20" s="55">
        <f t="shared" si="8"/>
        <v>11.946689999999998</v>
      </c>
      <c r="U20" s="19">
        <f t="shared" si="9"/>
        <v>8.533349999999999</v>
      </c>
      <c r="V20" s="19">
        <f t="shared" si="10"/>
        <v>11.377799999999997</v>
      </c>
      <c r="W20" s="19">
        <f t="shared" si="11"/>
        <v>9.102239999999998</v>
      </c>
      <c r="X20" s="19">
        <f t="shared" si="12"/>
        <v>12.515579999999998</v>
      </c>
      <c r="Y20" s="89">
        <f t="shared" si="13"/>
        <v>11.946689999999998</v>
      </c>
      <c r="Z20" s="65"/>
      <c r="AA20" s="19">
        <f t="shared" si="14"/>
        <v>5.6888999999999985</v>
      </c>
      <c r="AB20" s="26"/>
      <c r="AC20" s="26"/>
    </row>
    <row r="21" spans="1:29" s="1" customFormat="1" ht="12.75">
      <c r="A21" s="50" t="s">
        <v>29</v>
      </c>
      <c r="B21" s="81">
        <v>22</v>
      </c>
      <c r="C21" s="51">
        <f t="shared" si="0"/>
        <v>255.42</v>
      </c>
      <c r="D21" s="52">
        <f t="shared" si="1"/>
        <v>44.443079999999995</v>
      </c>
      <c r="E21" s="75">
        <v>15</v>
      </c>
      <c r="F21" s="51">
        <f t="shared" si="2"/>
        <v>174.14999999999998</v>
      </c>
      <c r="G21" s="52">
        <f t="shared" si="3"/>
        <v>30.302099999999996</v>
      </c>
      <c r="H21" s="56"/>
      <c r="I21" s="57"/>
      <c r="J21" s="52"/>
      <c r="K21" s="54"/>
      <c r="L21" s="53"/>
      <c r="M21" s="53"/>
      <c r="N21" s="54"/>
      <c r="O21" s="54"/>
      <c r="P21" s="54">
        <f t="shared" si="4"/>
        <v>74.74517999999999</v>
      </c>
      <c r="Q21" s="52">
        <f t="shared" si="5"/>
        <v>9.020969999999998</v>
      </c>
      <c r="R21" s="52">
        <f t="shared" si="6"/>
        <v>9.880109999999998</v>
      </c>
      <c r="S21" s="52">
        <f t="shared" si="7"/>
        <v>6.443549999999999</v>
      </c>
      <c r="T21" s="55">
        <f t="shared" si="8"/>
        <v>9.020969999999998</v>
      </c>
      <c r="U21" s="19">
        <f t="shared" si="9"/>
        <v>6.443549999999999</v>
      </c>
      <c r="V21" s="19">
        <f t="shared" si="10"/>
        <v>8.591399999999998</v>
      </c>
      <c r="W21" s="19">
        <f t="shared" si="11"/>
        <v>6.873119999999999</v>
      </c>
      <c r="X21" s="19">
        <f t="shared" si="12"/>
        <v>9.450539999999998</v>
      </c>
      <c r="Y21" s="89">
        <f t="shared" si="13"/>
        <v>9.020969999999998</v>
      </c>
      <c r="Z21" s="65"/>
      <c r="AA21" s="19">
        <f t="shared" si="14"/>
        <v>4.295699999999999</v>
      </c>
      <c r="AB21" s="26"/>
      <c r="AC21" s="26"/>
    </row>
    <row r="22" spans="1:29" s="1" customFormat="1" ht="12.75">
      <c r="A22" s="50" t="s">
        <v>30</v>
      </c>
      <c r="B22" s="81">
        <v>14</v>
      </c>
      <c r="C22" s="51">
        <f t="shared" si="0"/>
        <v>162.54</v>
      </c>
      <c r="D22" s="52">
        <f t="shared" si="1"/>
        <v>28.281959999999998</v>
      </c>
      <c r="E22" s="75">
        <v>2</v>
      </c>
      <c r="F22" s="51">
        <f t="shared" si="2"/>
        <v>23.22</v>
      </c>
      <c r="G22" s="52">
        <f t="shared" si="3"/>
        <v>4.04028</v>
      </c>
      <c r="H22" s="56"/>
      <c r="I22" s="57"/>
      <c r="J22" s="52"/>
      <c r="K22" s="54"/>
      <c r="L22" s="53"/>
      <c r="M22" s="53"/>
      <c r="N22" s="54"/>
      <c r="O22" s="54"/>
      <c r="P22" s="54">
        <f t="shared" si="4"/>
        <v>32.32224</v>
      </c>
      <c r="Q22" s="52">
        <f t="shared" si="5"/>
        <v>3.90096</v>
      </c>
      <c r="R22" s="52">
        <f t="shared" si="6"/>
        <v>4.27248</v>
      </c>
      <c r="S22" s="52">
        <f t="shared" si="7"/>
        <v>2.7864</v>
      </c>
      <c r="T22" s="55">
        <f t="shared" si="8"/>
        <v>3.90096</v>
      </c>
      <c r="U22" s="19">
        <f t="shared" si="9"/>
        <v>2.7864</v>
      </c>
      <c r="V22" s="19">
        <f t="shared" si="10"/>
        <v>3.7152000000000003</v>
      </c>
      <c r="W22" s="19">
        <f t="shared" si="11"/>
        <v>2.97216</v>
      </c>
      <c r="X22" s="19">
        <f t="shared" si="12"/>
        <v>4.086720000000001</v>
      </c>
      <c r="Y22" s="89">
        <f t="shared" si="13"/>
        <v>3.90096</v>
      </c>
      <c r="Z22" s="65"/>
      <c r="AA22" s="19">
        <f t="shared" si="14"/>
        <v>1.8575999999999997</v>
      </c>
      <c r="AB22" s="26"/>
      <c r="AC22" s="26"/>
    </row>
    <row r="23" spans="1:29" s="1" customFormat="1" ht="12.75">
      <c r="A23" s="50" t="s">
        <v>31</v>
      </c>
      <c r="B23" s="81">
        <v>12</v>
      </c>
      <c r="C23" s="51">
        <f t="shared" si="0"/>
        <v>139.32</v>
      </c>
      <c r="D23" s="52">
        <f t="shared" si="1"/>
        <v>24.24168</v>
      </c>
      <c r="E23" s="75">
        <v>2</v>
      </c>
      <c r="F23" s="51">
        <f t="shared" si="2"/>
        <v>23.22</v>
      </c>
      <c r="G23" s="52">
        <f t="shared" si="3"/>
        <v>4.04028</v>
      </c>
      <c r="H23" s="56"/>
      <c r="I23" s="57"/>
      <c r="J23" s="52"/>
      <c r="K23" s="54"/>
      <c r="L23" s="53"/>
      <c r="M23" s="53"/>
      <c r="N23" s="54"/>
      <c r="O23" s="54"/>
      <c r="P23" s="54">
        <f t="shared" si="4"/>
        <v>28.281959999999998</v>
      </c>
      <c r="Q23" s="52">
        <f t="shared" si="5"/>
        <v>3.41334</v>
      </c>
      <c r="R23" s="52">
        <f t="shared" si="6"/>
        <v>3.7384199999999996</v>
      </c>
      <c r="S23" s="52">
        <f t="shared" si="7"/>
        <v>2.4381</v>
      </c>
      <c r="T23" s="55">
        <f t="shared" si="8"/>
        <v>3.41334</v>
      </c>
      <c r="U23" s="19">
        <f t="shared" si="9"/>
        <v>2.4381</v>
      </c>
      <c r="V23" s="19">
        <f t="shared" si="10"/>
        <v>3.2508</v>
      </c>
      <c r="W23" s="19">
        <f t="shared" si="11"/>
        <v>2.60064</v>
      </c>
      <c r="X23" s="19">
        <f t="shared" si="12"/>
        <v>3.5758799999999997</v>
      </c>
      <c r="Y23" s="89">
        <f t="shared" si="13"/>
        <v>3.41334</v>
      </c>
      <c r="Z23" s="65"/>
      <c r="AA23" s="19">
        <f t="shared" si="14"/>
        <v>1.6254</v>
      </c>
      <c r="AB23" s="26"/>
      <c r="AC23" s="26"/>
    </row>
    <row r="24" spans="1:29" s="1" customFormat="1" ht="12.75">
      <c r="A24" s="50" t="s">
        <v>32</v>
      </c>
      <c r="B24" s="81">
        <v>10</v>
      </c>
      <c r="C24" s="51">
        <f t="shared" si="0"/>
        <v>116.1</v>
      </c>
      <c r="D24" s="52">
        <f t="shared" si="1"/>
        <v>20.2014</v>
      </c>
      <c r="E24" s="75">
        <v>3</v>
      </c>
      <c r="F24" s="51">
        <f t="shared" si="2"/>
        <v>34.83</v>
      </c>
      <c r="G24" s="52">
        <f t="shared" si="3"/>
        <v>6.06042</v>
      </c>
      <c r="H24" s="56"/>
      <c r="I24" s="57"/>
      <c r="J24" s="52"/>
      <c r="K24" s="54"/>
      <c r="L24" s="53"/>
      <c r="M24" s="53"/>
      <c r="N24" s="54"/>
      <c r="O24" s="54"/>
      <c r="P24" s="54">
        <f t="shared" si="4"/>
        <v>26.26182</v>
      </c>
      <c r="Q24" s="52">
        <f t="shared" si="5"/>
        <v>3.16953</v>
      </c>
      <c r="R24" s="52">
        <f t="shared" si="6"/>
        <v>3.4713900000000004</v>
      </c>
      <c r="S24" s="52">
        <f t="shared" si="7"/>
        <v>2.2639500000000004</v>
      </c>
      <c r="T24" s="55">
        <f t="shared" si="8"/>
        <v>3.16953</v>
      </c>
      <c r="U24" s="19">
        <f t="shared" si="9"/>
        <v>2.2639500000000004</v>
      </c>
      <c r="V24" s="19">
        <f t="shared" si="10"/>
        <v>3.0186</v>
      </c>
      <c r="W24" s="19">
        <f t="shared" si="11"/>
        <v>2.41488</v>
      </c>
      <c r="X24" s="19">
        <f t="shared" si="12"/>
        <v>3.32046</v>
      </c>
      <c r="Y24" s="89">
        <f t="shared" si="13"/>
        <v>3.16953</v>
      </c>
      <c r="Z24" s="65"/>
      <c r="AA24" s="19">
        <f t="shared" si="14"/>
        <v>1.5093</v>
      </c>
      <c r="AB24" s="26"/>
      <c r="AC24" s="26"/>
    </row>
    <row r="25" spans="1:29" s="1" customFormat="1" ht="12.75">
      <c r="A25" s="50" t="s">
        <v>33</v>
      </c>
      <c r="B25" s="81">
        <v>18</v>
      </c>
      <c r="C25" s="51">
        <f t="shared" si="0"/>
        <v>208.98</v>
      </c>
      <c r="D25" s="52">
        <f t="shared" si="1"/>
        <v>36.362519999999996</v>
      </c>
      <c r="E25" s="75">
        <v>3</v>
      </c>
      <c r="F25" s="51">
        <f t="shared" si="2"/>
        <v>34.83</v>
      </c>
      <c r="G25" s="52">
        <f t="shared" si="3"/>
        <v>6.06042</v>
      </c>
      <c r="H25" s="56"/>
      <c r="I25" s="57"/>
      <c r="J25" s="52"/>
      <c r="K25" s="54"/>
      <c r="L25" s="53"/>
      <c r="M25" s="53"/>
      <c r="N25" s="54"/>
      <c r="O25" s="54"/>
      <c r="P25" s="54">
        <f t="shared" si="4"/>
        <v>42.42294</v>
      </c>
      <c r="Q25" s="52">
        <f t="shared" si="5"/>
        <v>5.12001</v>
      </c>
      <c r="R25" s="52">
        <f t="shared" si="6"/>
        <v>5.6076299999999994</v>
      </c>
      <c r="S25" s="52">
        <f t="shared" si="7"/>
        <v>3.6571499999999997</v>
      </c>
      <c r="T25" s="55">
        <f t="shared" si="8"/>
        <v>5.12001</v>
      </c>
      <c r="U25" s="19">
        <f t="shared" si="9"/>
        <v>3.6571499999999997</v>
      </c>
      <c r="V25" s="19">
        <f t="shared" si="10"/>
        <v>4.876199999999999</v>
      </c>
      <c r="W25" s="19">
        <f t="shared" si="11"/>
        <v>3.9009599999999995</v>
      </c>
      <c r="X25" s="19">
        <f t="shared" si="12"/>
        <v>5.36382</v>
      </c>
      <c r="Y25" s="89">
        <f t="shared" si="13"/>
        <v>5.12001</v>
      </c>
      <c r="Z25" s="65"/>
      <c r="AA25" s="19">
        <f t="shared" si="14"/>
        <v>2.4380999999999995</v>
      </c>
      <c r="AB25" s="26"/>
      <c r="AC25" s="26"/>
    </row>
    <row r="26" spans="1:29" s="1" customFormat="1" ht="12.75">
      <c r="A26" s="50" t="s">
        <v>34</v>
      </c>
      <c r="B26" s="81">
        <v>15</v>
      </c>
      <c r="C26" s="51">
        <f t="shared" si="0"/>
        <v>174.14999999999998</v>
      </c>
      <c r="D26" s="52">
        <f t="shared" si="1"/>
        <v>30.302099999999996</v>
      </c>
      <c r="E26" s="75">
        <v>7</v>
      </c>
      <c r="F26" s="51">
        <f t="shared" si="2"/>
        <v>81.27</v>
      </c>
      <c r="G26" s="52">
        <f t="shared" si="3"/>
        <v>14.140979999999999</v>
      </c>
      <c r="H26" s="56"/>
      <c r="I26" s="57"/>
      <c r="J26" s="52"/>
      <c r="K26" s="54"/>
      <c r="L26" s="53"/>
      <c r="M26" s="53"/>
      <c r="N26" s="54"/>
      <c r="O26" s="54"/>
      <c r="P26" s="54">
        <f t="shared" si="4"/>
        <v>44.443079999999995</v>
      </c>
      <c r="Q26" s="52">
        <f t="shared" si="5"/>
        <v>5.36382</v>
      </c>
      <c r="R26" s="52">
        <f t="shared" si="6"/>
        <v>5.8746599999999995</v>
      </c>
      <c r="S26" s="52">
        <f t="shared" si="7"/>
        <v>3.8312999999999997</v>
      </c>
      <c r="T26" s="55">
        <f t="shared" si="8"/>
        <v>5.36382</v>
      </c>
      <c r="U26" s="19">
        <f t="shared" si="9"/>
        <v>3.8312999999999997</v>
      </c>
      <c r="V26" s="19">
        <f t="shared" si="10"/>
        <v>5.1084</v>
      </c>
      <c r="W26" s="19">
        <f t="shared" si="11"/>
        <v>4.08672</v>
      </c>
      <c r="X26" s="19">
        <f t="shared" si="12"/>
        <v>5.61924</v>
      </c>
      <c r="Y26" s="89">
        <f t="shared" si="13"/>
        <v>5.36382</v>
      </c>
      <c r="Z26" s="65"/>
      <c r="AA26" s="19">
        <f t="shared" si="14"/>
        <v>2.5542</v>
      </c>
      <c r="AB26" s="26"/>
      <c r="AC26" s="26"/>
    </row>
    <row r="27" spans="1:29" s="1" customFormat="1" ht="12.75">
      <c r="A27" s="50" t="s">
        <v>35</v>
      </c>
      <c r="B27" s="81">
        <v>4</v>
      </c>
      <c r="C27" s="51">
        <f t="shared" si="0"/>
        <v>46.44</v>
      </c>
      <c r="D27" s="52">
        <f t="shared" si="1"/>
        <v>8.08056</v>
      </c>
      <c r="E27" s="75">
        <v>0</v>
      </c>
      <c r="F27" s="51">
        <f t="shared" si="2"/>
        <v>0</v>
      </c>
      <c r="G27" s="52">
        <f t="shared" si="3"/>
        <v>0</v>
      </c>
      <c r="H27" s="56"/>
      <c r="I27" s="57"/>
      <c r="J27" s="52"/>
      <c r="K27" s="54"/>
      <c r="L27" s="53"/>
      <c r="M27" s="53"/>
      <c r="N27" s="54"/>
      <c r="O27" s="54"/>
      <c r="P27" s="54">
        <f t="shared" si="4"/>
        <v>8.08056</v>
      </c>
      <c r="Q27" s="52">
        <f t="shared" si="5"/>
        <v>0.97524</v>
      </c>
      <c r="R27" s="52">
        <f t="shared" si="6"/>
        <v>1.06812</v>
      </c>
      <c r="S27" s="52">
        <f t="shared" si="7"/>
        <v>0.6966</v>
      </c>
      <c r="T27" s="55">
        <f t="shared" si="8"/>
        <v>0.97524</v>
      </c>
      <c r="U27" s="19">
        <f t="shared" si="9"/>
        <v>0.6966</v>
      </c>
      <c r="V27" s="19">
        <f t="shared" si="10"/>
        <v>0.9288000000000001</v>
      </c>
      <c r="W27" s="19">
        <f t="shared" si="11"/>
        <v>0.74304</v>
      </c>
      <c r="X27" s="19">
        <f t="shared" si="12"/>
        <v>1.0216800000000001</v>
      </c>
      <c r="Y27" s="89">
        <f t="shared" si="13"/>
        <v>0.97524</v>
      </c>
      <c r="Z27" s="65"/>
      <c r="AA27" s="19">
        <f t="shared" si="14"/>
        <v>0.4643999999999999</v>
      </c>
      <c r="AB27" s="26"/>
      <c r="AC27" s="26"/>
    </row>
    <row r="28" spans="1:29" s="1" customFormat="1" ht="12.75">
      <c r="A28" s="50" t="s">
        <v>36</v>
      </c>
      <c r="B28" s="81">
        <v>18</v>
      </c>
      <c r="C28" s="51">
        <f t="shared" si="0"/>
        <v>208.98</v>
      </c>
      <c r="D28" s="52">
        <f t="shared" si="1"/>
        <v>36.362519999999996</v>
      </c>
      <c r="E28" s="75">
        <v>4</v>
      </c>
      <c r="F28" s="51">
        <f t="shared" si="2"/>
        <v>46.44</v>
      </c>
      <c r="G28" s="52">
        <f t="shared" si="3"/>
        <v>8.08056</v>
      </c>
      <c r="H28" s="56"/>
      <c r="I28" s="57"/>
      <c r="J28" s="52"/>
      <c r="K28" s="54"/>
      <c r="L28" s="53"/>
      <c r="M28" s="53"/>
      <c r="N28" s="54"/>
      <c r="O28" s="54"/>
      <c r="P28" s="54">
        <f t="shared" si="4"/>
        <v>44.443079999999995</v>
      </c>
      <c r="Q28" s="52">
        <f t="shared" si="5"/>
        <v>5.36382</v>
      </c>
      <c r="R28" s="52">
        <f t="shared" si="6"/>
        <v>5.8746599999999995</v>
      </c>
      <c r="S28" s="52">
        <f t="shared" si="7"/>
        <v>3.8312999999999997</v>
      </c>
      <c r="T28" s="55">
        <f t="shared" si="8"/>
        <v>5.36382</v>
      </c>
      <c r="U28" s="19">
        <f t="shared" si="9"/>
        <v>3.8312999999999997</v>
      </c>
      <c r="V28" s="19">
        <f t="shared" si="10"/>
        <v>5.1084</v>
      </c>
      <c r="W28" s="19">
        <f t="shared" si="11"/>
        <v>4.08672</v>
      </c>
      <c r="X28" s="19">
        <f t="shared" si="12"/>
        <v>5.61924</v>
      </c>
      <c r="Y28" s="89">
        <f t="shared" si="13"/>
        <v>5.36382</v>
      </c>
      <c r="Z28" s="65"/>
      <c r="AA28" s="19">
        <f t="shared" si="14"/>
        <v>2.5542</v>
      </c>
      <c r="AB28" s="26"/>
      <c r="AC28" s="26"/>
    </row>
    <row r="29" spans="1:29" s="1" customFormat="1" ht="12.75">
      <c r="A29" s="50" t="s">
        <v>37</v>
      </c>
      <c r="B29" s="81">
        <v>40</v>
      </c>
      <c r="C29" s="51">
        <f t="shared" si="0"/>
        <v>464.4</v>
      </c>
      <c r="D29" s="52">
        <f t="shared" si="1"/>
        <v>80.8056</v>
      </c>
      <c r="E29" s="75">
        <v>24</v>
      </c>
      <c r="F29" s="51">
        <f t="shared" si="2"/>
        <v>278.64</v>
      </c>
      <c r="G29" s="52">
        <f t="shared" si="3"/>
        <v>48.48336</v>
      </c>
      <c r="H29" s="56"/>
      <c r="I29" s="57"/>
      <c r="J29" s="52"/>
      <c r="K29" s="54"/>
      <c r="L29" s="53"/>
      <c r="M29" s="53"/>
      <c r="N29" s="54"/>
      <c r="O29" s="54"/>
      <c r="P29" s="54">
        <f t="shared" si="4"/>
        <v>129.28896</v>
      </c>
      <c r="Q29" s="52">
        <f t="shared" si="5"/>
        <v>15.60384</v>
      </c>
      <c r="R29" s="52">
        <f t="shared" si="6"/>
        <v>17.08992</v>
      </c>
      <c r="S29" s="52">
        <f t="shared" si="7"/>
        <v>11.1456</v>
      </c>
      <c r="T29" s="55">
        <f t="shared" si="8"/>
        <v>15.60384</v>
      </c>
      <c r="U29" s="19">
        <f t="shared" si="9"/>
        <v>11.1456</v>
      </c>
      <c r="V29" s="19">
        <f t="shared" si="10"/>
        <v>14.860800000000001</v>
      </c>
      <c r="W29" s="19">
        <f t="shared" si="11"/>
        <v>11.88864</v>
      </c>
      <c r="X29" s="19">
        <f t="shared" si="12"/>
        <v>16.346880000000002</v>
      </c>
      <c r="Y29" s="89">
        <f t="shared" si="13"/>
        <v>15.60384</v>
      </c>
      <c r="Z29" s="65"/>
      <c r="AA29" s="19">
        <f t="shared" si="14"/>
        <v>7.430399999999999</v>
      </c>
      <c r="AB29" s="26"/>
      <c r="AC29" s="26"/>
    </row>
    <row r="30" spans="1:29" s="1" customFormat="1" ht="12.75">
      <c r="A30" s="50" t="s">
        <v>38</v>
      </c>
      <c r="B30" s="81">
        <v>22</v>
      </c>
      <c r="C30" s="51">
        <f t="shared" si="0"/>
        <v>255.42</v>
      </c>
      <c r="D30" s="52">
        <f t="shared" si="1"/>
        <v>44.443079999999995</v>
      </c>
      <c r="E30" s="75">
        <v>3</v>
      </c>
      <c r="F30" s="51">
        <f t="shared" si="2"/>
        <v>34.83</v>
      </c>
      <c r="G30" s="52">
        <f t="shared" si="3"/>
        <v>6.06042</v>
      </c>
      <c r="H30" s="56"/>
      <c r="I30" s="57"/>
      <c r="J30" s="52"/>
      <c r="K30"/>
      <c r="L30"/>
      <c r="M30" s="53"/>
      <c r="N30" s="54"/>
      <c r="O30" s="54"/>
      <c r="P30" s="54">
        <f t="shared" si="4"/>
        <v>50.503499999999995</v>
      </c>
      <c r="Q30" s="52">
        <f t="shared" si="5"/>
        <v>6.095249999999999</v>
      </c>
      <c r="R30" s="52">
        <f t="shared" si="6"/>
        <v>6.675749999999999</v>
      </c>
      <c r="S30" s="52">
        <f t="shared" si="7"/>
        <v>4.353749999999999</v>
      </c>
      <c r="T30" s="55">
        <f t="shared" si="8"/>
        <v>6.095249999999999</v>
      </c>
      <c r="U30" s="19">
        <f t="shared" si="9"/>
        <v>4.353749999999999</v>
      </c>
      <c r="V30" s="19">
        <f t="shared" si="10"/>
        <v>5.804999999999999</v>
      </c>
      <c r="W30" s="19">
        <f t="shared" si="11"/>
        <v>4.643999999999999</v>
      </c>
      <c r="X30" s="19">
        <f t="shared" si="12"/>
        <v>6.385499999999999</v>
      </c>
      <c r="Y30" s="89">
        <f t="shared" si="13"/>
        <v>6.095249999999999</v>
      </c>
      <c r="Z30" s="65"/>
      <c r="AA30" s="19">
        <f t="shared" si="14"/>
        <v>2.9024999999999994</v>
      </c>
      <c r="AB30" s="26"/>
      <c r="AC30" s="26"/>
    </row>
    <row r="31" spans="1:29" s="1" customFormat="1" ht="12.75">
      <c r="A31" s="50" t="s">
        <v>39</v>
      </c>
      <c r="B31" s="81">
        <v>9</v>
      </c>
      <c r="C31" s="51">
        <f t="shared" si="0"/>
        <v>104.49</v>
      </c>
      <c r="D31" s="52">
        <f t="shared" si="1"/>
        <v>18.181259999999998</v>
      </c>
      <c r="E31" s="75">
        <v>0</v>
      </c>
      <c r="F31" s="51">
        <f t="shared" si="2"/>
        <v>0</v>
      </c>
      <c r="G31" s="52">
        <f t="shared" si="3"/>
        <v>0</v>
      </c>
      <c r="H31" s="56"/>
      <c r="I31" s="57"/>
      <c r="J31" s="52"/>
      <c r="K31" s="54"/>
      <c r="L31" s="53"/>
      <c r="M31" s="53"/>
      <c r="N31" s="54"/>
      <c r="O31" s="54"/>
      <c r="P31" s="54">
        <f t="shared" si="4"/>
        <v>18.181259999999998</v>
      </c>
      <c r="Q31" s="52">
        <f t="shared" si="5"/>
        <v>2.1942899999999996</v>
      </c>
      <c r="R31" s="52">
        <f t="shared" si="6"/>
        <v>2.4032699999999996</v>
      </c>
      <c r="S31" s="52">
        <f t="shared" si="7"/>
        <v>1.5673499999999998</v>
      </c>
      <c r="T31" s="55">
        <f t="shared" si="8"/>
        <v>2.1942899999999996</v>
      </c>
      <c r="U31" s="19">
        <f t="shared" si="9"/>
        <v>1.5673499999999998</v>
      </c>
      <c r="V31" s="19">
        <f t="shared" si="10"/>
        <v>2.0898</v>
      </c>
      <c r="W31" s="19">
        <f t="shared" si="11"/>
        <v>1.6718399999999998</v>
      </c>
      <c r="X31" s="19">
        <f t="shared" si="12"/>
        <v>2.29878</v>
      </c>
      <c r="Y31" s="89">
        <f t="shared" si="13"/>
        <v>2.1942899999999996</v>
      </c>
      <c r="Z31" s="65"/>
      <c r="AA31" s="19">
        <f t="shared" si="14"/>
        <v>1.0449</v>
      </c>
      <c r="AB31" s="26"/>
      <c r="AC31" s="26"/>
    </row>
    <row r="32" spans="1:29" s="1" customFormat="1" ht="12.75">
      <c r="A32" s="50" t="s">
        <v>40</v>
      </c>
      <c r="B32" s="81">
        <v>10</v>
      </c>
      <c r="C32" s="51">
        <f t="shared" si="0"/>
        <v>116.1</v>
      </c>
      <c r="D32" s="52">
        <f t="shared" si="1"/>
        <v>20.2014</v>
      </c>
      <c r="E32" s="75">
        <v>3</v>
      </c>
      <c r="F32" s="51">
        <f t="shared" si="2"/>
        <v>34.83</v>
      </c>
      <c r="G32" s="52">
        <f t="shared" si="3"/>
        <v>6.06042</v>
      </c>
      <c r="H32" s="56"/>
      <c r="I32" s="57"/>
      <c r="J32" s="52"/>
      <c r="K32" s="54"/>
      <c r="L32" s="53"/>
      <c r="M32" s="53"/>
      <c r="N32" s="54"/>
      <c r="O32" s="54"/>
      <c r="P32" s="54">
        <f t="shared" si="4"/>
        <v>26.26182</v>
      </c>
      <c r="Q32" s="52">
        <f t="shared" si="5"/>
        <v>3.16953</v>
      </c>
      <c r="R32" s="52">
        <f t="shared" si="6"/>
        <v>3.4713900000000004</v>
      </c>
      <c r="S32" s="52">
        <f t="shared" si="7"/>
        <v>2.2639500000000004</v>
      </c>
      <c r="T32" s="55">
        <f t="shared" si="8"/>
        <v>3.16953</v>
      </c>
      <c r="U32" s="19">
        <f t="shared" si="9"/>
        <v>2.2639500000000004</v>
      </c>
      <c r="V32" s="19">
        <f t="shared" si="10"/>
        <v>3.0186</v>
      </c>
      <c r="W32" s="19">
        <f t="shared" si="11"/>
        <v>2.41488</v>
      </c>
      <c r="X32" s="19">
        <f t="shared" si="12"/>
        <v>3.32046</v>
      </c>
      <c r="Y32" s="89">
        <f t="shared" si="13"/>
        <v>3.16953</v>
      </c>
      <c r="Z32" s="65"/>
      <c r="AA32" s="19">
        <f t="shared" si="14"/>
        <v>1.5093</v>
      </c>
      <c r="AB32" s="26"/>
      <c r="AC32" s="26"/>
    </row>
    <row r="33" spans="1:29" s="1" customFormat="1" ht="12.75">
      <c r="A33" s="50" t="s">
        <v>41</v>
      </c>
      <c r="B33" s="81">
        <v>3</v>
      </c>
      <c r="C33" s="51">
        <f t="shared" si="0"/>
        <v>34.83</v>
      </c>
      <c r="D33" s="52">
        <f t="shared" si="1"/>
        <v>6.06042</v>
      </c>
      <c r="E33" s="75">
        <v>0</v>
      </c>
      <c r="F33" s="51">
        <f t="shared" si="2"/>
        <v>0</v>
      </c>
      <c r="G33" s="52">
        <f t="shared" si="3"/>
        <v>0</v>
      </c>
      <c r="H33" s="56"/>
      <c r="I33" s="58"/>
      <c r="J33" s="54"/>
      <c r="K33" s="54"/>
      <c r="L33" s="53"/>
      <c r="M33" s="53"/>
      <c r="N33" s="54"/>
      <c r="O33" s="54"/>
      <c r="P33" s="54">
        <f t="shared" si="4"/>
        <v>6.06042</v>
      </c>
      <c r="Q33" s="52">
        <f t="shared" si="5"/>
        <v>0.73143</v>
      </c>
      <c r="R33" s="52">
        <f t="shared" si="6"/>
        <v>0.80109</v>
      </c>
      <c r="S33" s="52">
        <f t="shared" si="7"/>
        <v>0.52245</v>
      </c>
      <c r="T33" s="55">
        <f t="shared" si="8"/>
        <v>0.73143</v>
      </c>
      <c r="U33" s="19">
        <f t="shared" si="9"/>
        <v>0.52245</v>
      </c>
      <c r="V33" s="19">
        <f t="shared" si="10"/>
        <v>0.6966</v>
      </c>
      <c r="W33" s="19">
        <f t="shared" si="11"/>
        <v>0.55728</v>
      </c>
      <c r="X33" s="19">
        <f t="shared" si="12"/>
        <v>0.7662599999999999</v>
      </c>
      <c r="Y33" s="89">
        <f t="shared" si="13"/>
        <v>0.73143</v>
      </c>
      <c r="Z33" s="65"/>
      <c r="AA33" s="19">
        <f t="shared" si="14"/>
        <v>0.3483</v>
      </c>
      <c r="AB33" s="26"/>
      <c r="AC33" s="26"/>
    </row>
    <row r="34" spans="1:29" s="1" customFormat="1" ht="12.75">
      <c r="A34" s="50" t="s">
        <v>42</v>
      </c>
      <c r="B34" s="81">
        <v>8</v>
      </c>
      <c r="C34" s="51">
        <f t="shared" si="0"/>
        <v>92.88</v>
      </c>
      <c r="D34" s="52">
        <f t="shared" si="1"/>
        <v>16.16112</v>
      </c>
      <c r="E34" s="75">
        <v>0</v>
      </c>
      <c r="F34" s="51">
        <f t="shared" si="2"/>
        <v>0</v>
      </c>
      <c r="G34" s="52">
        <f t="shared" si="3"/>
        <v>0</v>
      </c>
      <c r="H34" s="56"/>
      <c r="I34" s="58"/>
      <c r="J34" s="54"/>
      <c r="K34" s="54"/>
      <c r="L34" s="53"/>
      <c r="M34" s="53"/>
      <c r="N34" s="54"/>
      <c r="O34" s="54"/>
      <c r="P34" s="54">
        <f t="shared" si="4"/>
        <v>16.16112</v>
      </c>
      <c r="Q34" s="52">
        <f t="shared" si="5"/>
        <v>1.95048</v>
      </c>
      <c r="R34" s="52">
        <f t="shared" si="6"/>
        <v>2.13624</v>
      </c>
      <c r="S34" s="52">
        <f t="shared" si="7"/>
        <v>1.3932</v>
      </c>
      <c r="T34" s="55">
        <f t="shared" si="8"/>
        <v>1.95048</v>
      </c>
      <c r="U34" s="19">
        <f t="shared" si="9"/>
        <v>1.3932</v>
      </c>
      <c r="V34" s="19">
        <f t="shared" si="10"/>
        <v>1.8576000000000001</v>
      </c>
      <c r="W34" s="19">
        <f t="shared" si="11"/>
        <v>1.48608</v>
      </c>
      <c r="X34" s="19">
        <f t="shared" si="12"/>
        <v>2.0433600000000003</v>
      </c>
      <c r="Y34" s="89">
        <f t="shared" si="13"/>
        <v>1.95048</v>
      </c>
      <c r="Z34" s="65"/>
      <c r="AA34" s="19">
        <f t="shared" si="14"/>
        <v>0.9287999999999998</v>
      </c>
      <c r="AB34" s="26"/>
      <c r="AC34" s="26"/>
    </row>
    <row r="35" spans="1:29" s="1" customFormat="1" ht="12.75">
      <c r="A35" s="59" t="s">
        <v>43</v>
      </c>
      <c r="B35" s="79">
        <f aca="true" t="shared" si="15" ref="B35:S35">SUM(B13:B34)</f>
        <v>819</v>
      </c>
      <c r="C35" s="60">
        <f t="shared" si="15"/>
        <v>9508.589999999997</v>
      </c>
      <c r="D35" s="60">
        <f t="shared" si="15"/>
        <v>1654.4946599999998</v>
      </c>
      <c r="E35" s="79">
        <f t="shared" si="15"/>
        <v>198</v>
      </c>
      <c r="F35" s="79">
        <f>SUM(F13:F34)</f>
        <v>2298.7799999999997</v>
      </c>
      <c r="G35" s="83">
        <f>SUM(G13:G34)</f>
        <v>399.9877200000001</v>
      </c>
      <c r="H35" s="61">
        <f t="shared" si="15"/>
        <v>75</v>
      </c>
      <c r="I35" s="62">
        <f t="shared" si="15"/>
        <v>1546.5</v>
      </c>
      <c r="J35" s="63">
        <f t="shared" si="15"/>
        <v>269.091</v>
      </c>
      <c r="K35" s="62">
        <f t="shared" si="15"/>
        <v>50</v>
      </c>
      <c r="L35" s="62">
        <f t="shared" si="15"/>
        <v>0</v>
      </c>
      <c r="M35" s="62">
        <f t="shared" si="15"/>
        <v>0</v>
      </c>
      <c r="N35" s="62">
        <f t="shared" si="15"/>
        <v>580.5</v>
      </c>
      <c r="O35" s="63">
        <f t="shared" si="15"/>
        <v>101.007</v>
      </c>
      <c r="P35" s="63">
        <f t="shared" si="15"/>
        <v>2424.5803799999994</v>
      </c>
      <c r="Q35" s="63">
        <f t="shared" si="15"/>
        <v>292.62177</v>
      </c>
      <c r="R35" s="63">
        <f t="shared" si="15"/>
        <v>320.49051</v>
      </c>
      <c r="S35" s="63">
        <f t="shared" si="15"/>
        <v>209.01554999999993</v>
      </c>
      <c r="T35" s="63">
        <f aca="true" t="shared" si="16" ref="T35:Y35">SUM(T13:T34)</f>
        <v>292.62177</v>
      </c>
      <c r="U35" s="63">
        <f t="shared" si="16"/>
        <v>209.01554999999993</v>
      </c>
      <c r="V35" s="63">
        <f t="shared" si="16"/>
        <v>278.68739999999997</v>
      </c>
      <c r="W35" s="63">
        <f t="shared" si="16"/>
        <v>222.94992000000005</v>
      </c>
      <c r="X35" s="63">
        <f t="shared" si="16"/>
        <v>306.55613999999997</v>
      </c>
      <c r="Y35" s="88">
        <f t="shared" si="16"/>
        <v>292.62177</v>
      </c>
      <c r="Z35" s="68"/>
      <c r="AA35" s="68">
        <f>SUM(AA13:AA34)</f>
        <v>139.34369999999998</v>
      </c>
      <c r="AB35" s="13"/>
      <c r="AC35" s="26"/>
    </row>
    <row r="36" spans="1:29" s="1" customFormat="1" ht="12.75">
      <c r="A36" s="65"/>
      <c r="B36" s="82"/>
      <c r="C36" s="67"/>
      <c r="D36" s="68"/>
      <c r="E36" s="67"/>
      <c r="F36" s="68"/>
      <c r="G36" s="68"/>
      <c r="H36" s="69"/>
      <c r="I36" s="67"/>
      <c r="J36" s="68"/>
      <c r="K36" s="67"/>
      <c r="L36" s="67"/>
      <c r="M36" s="67"/>
      <c r="N36" s="67"/>
      <c r="O36" s="68"/>
      <c r="P36" s="68"/>
      <c r="Q36" s="84"/>
      <c r="R36" s="84"/>
      <c r="S36" s="84"/>
      <c r="T36" s="84"/>
      <c r="U36" s="84"/>
      <c r="V36" s="84"/>
      <c r="W36" s="84"/>
      <c r="X36" s="84"/>
      <c r="Y36" s="90"/>
      <c r="Z36" s="91"/>
      <c r="AA36" s="19"/>
      <c r="AB36" s="13"/>
      <c r="AC36" s="26"/>
    </row>
    <row r="37" spans="1:29" s="1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 s="26"/>
      <c r="AA37" s="26"/>
      <c r="AB37" s="26"/>
      <c r="AC37" s="26"/>
    </row>
    <row r="38" spans="1:29" s="1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 s="70"/>
      <c r="AA38" s="70"/>
      <c r="AB38" s="24"/>
      <c r="AC38" s="24"/>
    </row>
    <row r="39" spans="1:25" ht="12.75">
      <c r="A39" s="3"/>
      <c r="B39" s="22"/>
      <c r="R39" s="23"/>
      <c r="S39" s="23"/>
      <c r="T39" s="22"/>
      <c r="U39" s="26"/>
      <c r="V39" s="25"/>
      <c r="W39" s="26"/>
      <c r="X39" s="26"/>
      <c r="Y39" s="3"/>
    </row>
    <row r="40" spans="4:25" ht="12.75">
      <c r="D40" t="s">
        <v>66</v>
      </c>
      <c r="N40" s="28"/>
      <c r="Q40" s="1"/>
      <c r="R40" s="1"/>
      <c r="S40" s="1"/>
      <c r="T40" s="1"/>
      <c r="U40" s="1"/>
      <c r="V40" s="1"/>
      <c r="W40" s="1"/>
      <c r="X40" s="1"/>
      <c r="Y40" s="1"/>
    </row>
    <row r="41" spans="1:25" ht="12.75">
      <c r="A41" t="s">
        <v>67</v>
      </c>
      <c r="Q41" s="1"/>
      <c r="R41" s="1"/>
      <c r="S41" s="1"/>
      <c r="T41" s="1"/>
      <c r="U41" s="1"/>
      <c r="V41" s="1"/>
      <c r="W41" s="1"/>
      <c r="X41" s="1"/>
      <c r="Y41" s="1"/>
    </row>
    <row r="42" spans="1:25" ht="12.75">
      <c r="A42" s="29"/>
      <c r="B42" s="30" t="s">
        <v>0</v>
      </c>
      <c r="C42" s="31" t="s">
        <v>1</v>
      </c>
      <c r="D42" s="72" t="s">
        <v>2</v>
      </c>
      <c r="E42" s="73" t="s">
        <v>0</v>
      </c>
      <c r="F42" s="31" t="s">
        <v>1</v>
      </c>
      <c r="G42" s="72" t="s">
        <v>2</v>
      </c>
      <c r="H42" s="32" t="s">
        <v>0</v>
      </c>
      <c r="I42" s="33" t="s">
        <v>1</v>
      </c>
      <c r="J42" s="32" t="s">
        <v>2</v>
      </c>
      <c r="K42" s="32" t="s">
        <v>0</v>
      </c>
      <c r="L42" s="30"/>
      <c r="M42" s="31"/>
      <c r="N42" s="33" t="s">
        <v>1</v>
      </c>
      <c r="O42" s="32" t="s">
        <v>2</v>
      </c>
      <c r="P42" s="4"/>
      <c r="Q42" s="4" t="s">
        <v>3</v>
      </c>
      <c r="R42" s="4" t="s">
        <v>3</v>
      </c>
      <c r="S42" s="4" t="s">
        <v>3</v>
      </c>
      <c r="T42" s="14" t="s">
        <v>3</v>
      </c>
      <c r="U42" s="64">
        <v>2010</v>
      </c>
      <c r="V42" s="64">
        <v>2010</v>
      </c>
      <c r="W42" s="64">
        <v>2010</v>
      </c>
      <c r="X42" s="64">
        <v>2010</v>
      </c>
      <c r="Y42" s="64">
        <v>2010</v>
      </c>
    </row>
    <row r="43" spans="1:25" ht="12.75">
      <c r="A43" s="34"/>
      <c r="B43" s="35" t="s">
        <v>4</v>
      </c>
      <c r="C43" s="36">
        <v>11.61</v>
      </c>
      <c r="E43" s="21" t="s">
        <v>57</v>
      </c>
      <c r="F43" s="36">
        <v>11.61</v>
      </c>
      <c r="H43" s="20" t="s">
        <v>4</v>
      </c>
      <c r="I43" s="9">
        <v>20.62</v>
      </c>
      <c r="K43" s="20" t="s">
        <v>4</v>
      </c>
      <c r="L43" s="35"/>
      <c r="M43" s="8"/>
      <c r="N43" s="9" t="s">
        <v>68</v>
      </c>
      <c r="P43" s="6" t="s">
        <v>5</v>
      </c>
      <c r="Q43" s="20" t="s">
        <v>6</v>
      </c>
      <c r="R43" s="20" t="s">
        <v>7</v>
      </c>
      <c r="S43" s="20" t="s">
        <v>52</v>
      </c>
      <c r="T43" s="37" t="s">
        <v>8</v>
      </c>
      <c r="U43" s="17" t="s">
        <v>45</v>
      </c>
      <c r="V43" s="17" t="s">
        <v>54</v>
      </c>
      <c r="W43" s="17" t="s">
        <v>46</v>
      </c>
      <c r="X43" s="17" t="s">
        <v>47</v>
      </c>
      <c r="Y43" s="21" t="s">
        <v>48</v>
      </c>
    </row>
    <row r="44" spans="1:25" ht="12.75">
      <c r="A44" s="34" t="s">
        <v>9</v>
      </c>
      <c r="B44" s="87" t="s">
        <v>10</v>
      </c>
      <c r="C44" s="38" t="s">
        <v>11</v>
      </c>
      <c r="E44" s="21" t="s">
        <v>58</v>
      </c>
      <c r="F44" s="38" t="s">
        <v>11</v>
      </c>
      <c r="H44" s="6" t="s">
        <v>12</v>
      </c>
      <c r="I44" s="39" t="s">
        <v>11</v>
      </c>
      <c r="K44" s="9" t="s">
        <v>13</v>
      </c>
      <c r="L44" s="40"/>
      <c r="M44" s="41"/>
      <c r="N44" s="39" t="s">
        <v>14</v>
      </c>
      <c r="P44" s="42">
        <v>40057</v>
      </c>
      <c r="Q44" s="20" t="s">
        <v>15</v>
      </c>
      <c r="R44" s="20" t="s">
        <v>15</v>
      </c>
      <c r="S44" s="37" t="s">
        <v>15</v>
      </c>
      <c r="T44" s="37" t="s">
        <v>15</v>
      </c>
      <c r="U44" s="17" t="s">
        <v>56</v>
      </c>
      <c r="V44" s="17" t="s">
        <v>55</v>
      </c>
      <c r="W44" s="17"/>
      <c r="X44" s="17" t="s">
        <v>53</v>
      </c>
      <c r="Y44" s="17"/>
    </row>
    <row r="45" spans="1:25" ht="12.75">
      <c r="A45" s="34"/>
      <c r="B45" s="35" t="s">
        <v>16</v>
      </c>
      <c r="C45" s="8" t="s">
        <v>14</v>
      </c>
      <c r="D45" s="37" t="s">
        <v>50</v>
      </c>
      <c r="E45" s="85" t="s">
        <v>59</v>
      </c>
      <c r="F45" s="8" t="s">
        <v>14</v>
      </c>
      <c r="G45" s="37" t="s">
        <v>50</v>
      </c>
      <c r="H45" s="44"/>
      <c r="I45" s="39" t="s">
        <v>14</v>
      </c>
      <c r="J45" s="20" t="s">
        <v>51</v>
      </c>
      <c r="K45" s="9" t="s">
        <v>17</v>
      </c>
      <c r="L45" s="40"/>
      <c r="M45" s="20"/>
      <c r="N45" s="20"/>
      <c r="O45" s="20" t="s">
        <v>50</v>
      </c>
      <c r="P45" s="42">
        <v>40299</v>
      </c>
      <c r="Q45" s="7"/>
      <c r="R45" s="7"/>
      <c r="S45" s="7"/>
      <c r="T45" s="15"/>
      <c r="U45" s="17"/>
      <c r="V45" s="17"/>
      <c r="W45" s="17"/>
      <c r="X45" s="21"/>
      <c r="Y45" s="17"/>
    </row>
    <row r="46" spans="2:25" ht="12.75">
      <c r="B46" s="20">
        <v>2009</v>
      </c>
      <c r="C46" s="8"/>
      <c r="D46" s="41"/>
      <c r="E46" s="86" t="s">
        <v>60</v>
      </c>
      <c r="F46" s="45"/>
      <c r="G46" s="41"/>
      <c r="H46" s="20"/>
      <c r="I46" s="16"/>
      <c r="J46" s="44"/>
      <c r="K46" s="9" t="s">
        <v>18</v>
      </c>
      <c r="L46" s="35"/>
      <c r="M46" s="20"/>
      <c r="N46" s="20"/>
      <c r="O46" s="20"/>
      <c r="P46" s="6" t="s">
        <v>50</v>
      </c>
      <c r="Q46" s="20">
        <v>21</v>
      </c>
      <c r="R46" s="20">
        <v>23</v>
      </c>
      <c r="S46" s="20">
        <v>15</v>
      </c>
      <c r="T46" s="37">
        <v>21</v>
      </c>
      <c r="U46" s="21">
        <v>15</v>
      </c>
      <c r="V46" s="21">
        <v>20</v>
      </c>
      <c r="W46" s="21">
        <v>16</v>
      </c>
      <c r="X46" s="45">
        <v>22</v>
      </c>
      <c r="Y46" s="17">
        <v>21</v>
      </c>
    </row>
    <row r="47" spans="2:25" ht="12.75">
      <c r="B47" s="40"/>
      <c r="C47" s="8"/>
      <c r="D47" s="37" t="s">
        <v>19</v>
      </c>
      <c r="E47" s="85" t="s">
        <v>61</v>
      </c>
      <c r="F47" s="21"/>
      <c r="G47" s="37" t="s">
        <v>19</v>
      </c>
      <c r="H47" s="20"/>
      <c r="I47" s="16"/>
      <c r="J47" s="20" t="s">
        <v>19</v>
      </c>
      <c r="K47" s="34"/>
      <c r="L47" s="46"/>
      <c r="M47" s="20"/>
      <c r="N47" s="20"/>
      <c r="O47" s="20" t="s">
        <v>19</v>
      </c>
      <c r="P47" s="6" t="s">
        <v>19</v>
      </c>
      <c r="Q47" s="20" t="s">
        <v>49</v>
      </c>
      <c r="R47" s="20" t="s">
        <v>49</v>
      </c>
      <c r="S47" s="20" t="s">
        <v>49</v>
      </c>
      <c r="T47" s="20" t="s">
        <v>49</v>
      </c>
      <c r="U47" s="20" t="s">
        <v>49</v>
      </c>
      <c r="V47" s="20" t="s">
        <v>49</v>
      </c>
      <c r="W47" s="20" t="s">
        <v>49</v>
      </c>
      <c r="X47" s="20" t="s">
        <v>49</v>
      </c>
      <c r="Y47" s="20" t="s">
        <v>49</v>
      </c>
    </row>
    <row r="48" spans="1:25" ht="12.75">
      <c r="A48" s="34"/>
      <c r="B48" s="47"/>
      <c r="C48" s="8"/>
      <c r="D48" s="37" t="s">
        <v>11</v>
      </c>
      <c r="E48" s="74"/>
      <c r="F48" s="74"/>
      <c r="G48" s="37" t="s">
        <v>11</v>
      </c>
      <c r="H48" s="39"/>
      <c r="I48" s="9"/>
      <c r="J48" s="20" t="s">
        <v>11</v>
      </c>
      <c r="K48" s="47"/>
      <c r="L48" s="35"/>
      <c r="M48" s="20"/>
      <c r="N48" s="20"/>
      <c r="O48" s="20" t="s">
        <v>11</v>
      </c>
      <c r="P48" s="9" t="s">
        <v>20</v>
      </c>
      <c r="Q48" s="9"/>
      <c r="R48" s="9"/>
      <c r="S48" s="9"/>
      <c r="T48" s="16"/>
      <c r="U48" s="48"/>
      <c r="V48" s="48"/>
      <c r="W48" s="48"/>
      <c r="X48" s="49"/>
      <c r="Y48" s="49"/>
    </row>
    <row r="49" spans="1:25" ht="12.75">
      <c r="A49" s="50" t="s">
        <v>21</v>
      </c>
      <c r="B49" s="80">
        <v>73</v>
      </c>
      <c r="C49" s="51">
        <f aca="true" t="shared" si="17" ref="C49:C70">B49*11.61</f>
        <v>847.53</v>
      </c>
      <c r="D49" s="52">
        <f>C49*174/1000</f>
        <v>147.47022</v>
      </c>
      <c r="E49" s="75">
        <v>21</v>
      </c>
      <c r="F49" s="51">
        <f>11.61*E49</f>
        <v>243.81</v>
      </c>
      <c r="G49" s="52">
        <f>F49*174/1000</f>
        <v>42.422940000000004</v>
      </c>
      <c r="H49" s="50"/>
      <c r="I49" s="53"/>
      <c r="J49" s="54"/>
      <c r="K49" s="54"/>
      <c r="L49" s="53"/>
      <c r="M49" s="53"/>
      <c r="N49" s="54"/>
      <c r="O49" s="54"/>
      <c r="P49" s="54">
        <f>D49+G49+J49+O49</f>
        <v>189.89316000000002</v>
      </c>
      <c r="Q49" s="52">
        <f>P49/174*21</f>
        <v>22.918140000000005</v>
      </c>
      <c r="R49" s="52">
        <f>P49/174*23</f>
        <v>25.100820000000006</v>
      </c>
      <c r="S49" s="52">
        <f>P49/174*15</f>
        <v>16.370100000000004</v>
      </c>
      <c r="T49" s="55">
        <f>P49/174*21</f>
        <v>22.918140000000005</v>
      </c>
      <c r="U49" s="18">
        <f>P49/174*15</f>
        <v>16.370100000000004</v>
      </c>
      <c r="V49" s="19">
        <f>P49/174*20</f>
        <v>21.826800000000006</v>
      </c>
      <c r="W49" s="18">
        <f>P49/174*16</f>
        <v>17.461440000000003</v>
      </c>
      <c r="X49" s="19">
        <f>P49/174*22</f>
        <v>24.009480000000003</v>
      </c>
      <c r="Y49" s="89">
        <f>P49/174*21</f>
        <v>22.918140000000005</v>
      </c>
    </row>
    <row r="50" spans="1:25" ht="12.75">
      <c r="A50" s="39" t="s">
        <v>22</v>
      </c>
      <c r="B50" s="20">
        <v>56</v>
      </c>
      <c r="C50" s="51">
        <f t="shared" si="17"/>
        <v>650.16</v>
      </c>
      <c r="D50" s="52">
        <f aca="true" t="shared" si="18" ref="D50:D70">C50*174/1000</f>
        <v>113.12783999999999</v>
      </c>
      <c r="E50" s="76">
        <v>14</v>
      </c>
      <c r="F50" s="51">
        <f aca="true" t="shared" si="19" ref="F50:F70">11.61*E50</f>
        <v>162.54</v>
      </c>
      <c r="G50" s="52">
        <f aca="true" t="shared" si="20" ref="G50:G70">F50*174/1000</f>
        <v>28.281959999999998</v>
      </c>
      <c r="H50" s="39"/>
      <c r="I50" s="9"/>
      <c r="J50" s="54"/>
      <c r="K50" s="54"/>
      <c r="L50" s="53"/>
      <c r="M50" s="53"/>
      <c r="N50" s="54"/>
      <c r="O50" s="54"/>
      <c r="P50" s="54">
        <f aca="true" t="shared" si="21" ref="P50:P70">D50+G50+J50+O50</f>
        <v>141.4098</v>
      </c>
      <c r="Q50" s="52">
        <f aca="true" t="shared" si="22" ref="Q50:Q70">P50/174*21</f>
        <v>17.0667</v>
      </c>
      <c r="R50" s="52">
        <f aca="true" t="shared" si="23" ref="R50:R70">P50/174*23</f>
        <v>18.6921</v>
      </c>
      <c r="S50" s="52">
        <f aca="true" t="shared" si="24" ref="S50:S70">P50/174*15</f>
        <v>12.1905</v>
      </c>
      <c r="T50" s="55">
        <f aca="true" t="shared" si="25" ref="T50:T70">P50/174*21</f>
        <v>17.0667</v>
      </c>
      <c r="U50" s="19">
        <f aca="true" t="shared" si="26" ref="U50:U70">P50/174*15</f>
        <v>12.1905</v>
      </c>
      <c r="V50" s="19">
        <f aca="true" t="shared" si="27" ref="V50:V70">P50/174*20</f>
        <v>16.253999999999998</v>
      </c>
      <c r="W50" s="18">
        <f aca="true" t="shared" si="28" ref="W50:W70">P50/174*16</f>
        <v>13.0032</v>
      </c>
      <c r="X50" s="19">
        <f aca="true" t="shared" si="29" ref="X50:X70">P50/174*22</f>
        <v>17.8794</v>
      </c>
      <c r="Y50" s="89">
        <f aca="true" t="shared" si="30" ref="Y50:Y70">P50/174*21</f>
        <v>17.0667</v>
      </c>
    </row>
    <row r="51" spans="1:25" ht="12.75">
      <c r="A51" s="50" t="s">
        <v>23</v>
      </c>
      <c r="B51" s="80">
        <v>56</v>
      </c>
      <c r="C51" s="51">
        <f t="shared" si="17"/>
        <v>650.16</v>
      </c>
      <c r="D51" s="52">
        <f t="shared" si="18"/>
        <v>113.12783999999999</v>
      </c>
      <c r="E51" s="77">
        <v>7</v>
      </c>
      <c r="F51" s="51">
        <f t="shared" si="19"/>
        <v>81.27</v>
      </c>
      <c r="G51" s="52">
        <f t="shared" si="20"/>
        <v>14.140979999999999</v>
      </c>
      <c r="H51" s="33"/>
      <c r="I51" s="59"/>
      <c r="J51" s="54"/>
      <c r="K51" s="54"/>
      <c r="L51" s="53"/>
      <c r="M51" s="53"/>
      <c r="N51" s="54"/>
      <c r="O51" s="54"/>
      <c r="P51" s="54">
        <f t="shared" si="21"/>
        <v>127.26881999999999</v>
      </c>
      <c r="Q51" s="52">
        <f t="shared" si="22"/>
        <v>15.360029999999998</v>
      </c>
      <c r="R51" s="52">
        <f t="shared" si="23"/>
        <v>16.822889999999997</v>
      </c>
      <c r="S51" s="52">
        <f t="shared" si="24"/>
        <v>10.971449999999999</v>
      </c>
      <c r="T51" s="55">
        <f t="shared" si="25"/>
        <v>15.360029999999998</v>
      </c>
      <c r="U51" s="19">
        <f t="shared" si="26"/>
        <v>10.971449999999999</v>
      </c>
      <c r="V51" s="19">
        <f t="shared" si="27"/>
        <v>14.628599999999999</v>
      </c>
      <c r="W51" s="18">
        <f t="shared" si="28"/>
        <v>11.702879999999999</v>
      </c>
      <c r="X51" s="19">
        <f t="shared" si="29"/>
        <v>16.091459999999998</v>
      </c>
      <c r="Y51" s="89">
        <f t="shared" si="30"/>
        <v>15.360029999999998</v>
      </c>
    </row>
    <row r="52" spans="1:25" ht="12.75">
      <c r="A52" s="1" t="s">
        <v>24</v>
      </c>
      <c r="B52" s="80">
        <v>20</v>
      </c>
      <c r="C52" s="51">
        <f t="shared" si="17"/>
        <v>232.2</v>
      </c>
      <c r="D52" s="52">
        <f t="shared" si="18"/>
        <v>40.4028</v>
      </c>
      <c r="E52" s="78">
        <v>5</v>
      </c>
      <c r="F52" s="51">
        <f t="shared" si="19"/>
        <v>58.05</v>
      </c>
      <c r="G52" s="55">
        <f t="shared" si="20"/>
        <v>10.1007</v>
      </c>
      <c r="H52" s="18"/>
      <c r="I52" s="18"/>
      <c r="J52" s="71"/>
      <c r="K52" s="54"/>
      <c r="L52" s="53"/>
      <c r="M52" s="53"/>
      <c r="N52" s="54"/>
      <c r="O52" s="54"/>
      <c r="P52" s="54">
        <f t="shared" si="21"/>
        <v>50.5035</v>
      </c>
      <c r="Q52" s="52">
        <f t="shared" si="22"/>
        <v>6.09525</v>
      </c>
      <c r="R52" s="52">
        <f t="shared" si="23"/>
        <v>6.67575</v>
      </c>
      <c r="S52" s="52">
        <f t="shared" si="24"/>
        <v>4.35375</v>
      </c>
      <c r="T52" s="55">
        <f t="shared" si="25"/>
        <v>6.09525</v>
      </c>
      <c r="U52" s="19">
        <f t="shared" si="26"/>
        <v>4.35375</v>
      </c>
      <c r="V52" s="19">
        <f t="shared" si="27"/>
        <v>5.805</v>
      </c>
      <c r="W52" s="19">
        <f t="shared" si="28"/>
        <v>4.644</v>
      </c>
      <c r="X52" s="19">
        <f t="shared" si="29"/>
        <v>6.3855</v>
      </c>
      <c r="Y52" s="89">
        <f t="shared" si="30"/>
        <v>6.09525</v>
      </c>
    </row>
    <row r="53" spans="1:25" ht="12.75">
      <c r="A53" s="50" t="s">
        <v>25</v>
      </c>
      <c r="B53" s="81">
        <v>165</v>
      </c>
      <c r="C53" s="51">
        <f t="shared" si="17"/>
        <v>1915.6499999999999</v>
      </c>
      <c r="D53" s="52">
        <f t="shared" si="18"/>
        <v>333.32309999999995</v>
      </c>
      <c r="E53" s="75">
        <v>29</v>
      </c>
      <c r="F53" s="51">
        <f t="shared" si="19"/>
        <v>336.69</v>
      </c>
      <c r="G53" s="52">
        <f t="shared" si="20"/>
        <v>58.58406</v>
      </c>
      <c r="H53" s="113">
        <v>50</v>
      </c>
      <c r="I53" s="56">
        <f>H53*20.62</f>
        <v>1031</v>
      </c>
      <c r="J53" s="52">
        <f>I53*174/1000</f>
        <v>179.394</v>
      </c>
      <c r="K53" s="51">
        <v>50</v>
      </c>
      <c r="L53" s="53"/>
      <c r="M53" s="53"/>
      <c r="N53" s="51">
        <f>K53*11.61</f>
        <v>580.5</v>
      </c>
      <c r="O53" s="52">
        <f>N53*174/1000</f>
        <v>101.007</v>
      </c>
      <c r="P53" s="54">
        <f t="shared" si="21"/>
        <v>672.30816</v>
      </c>
      <c r="Q53" s="52">
        <v>70.3</v>
      </c>
      <c r="R53" s="52">
        <v>77</v>
      </c>
      <c r="S53" s="52">
        <f t="shared" si="24"/>
        <v>57.9576</v>
      </c>
      <c r="T53" s="55">
        <f t="shared" si="25"/>
        <v>81.14064</v>
      </c>
      <c r="U53" s="19">
        <f t="shared" si="26"/>
        <v>57.9576</v>
      </c>
      <c r="V53" s="19">
        <f t="shared" si="27"/>
        <v>77.27680000000001</v>
      </c>
      <c r="W53" s="19">
        <f t="shared" si="28"/>
        <v>61.82144</v>
      </c>
      <c r="X53" s="19">
        <f t="shared" si="29"/>
        <v>85.00448</v>
      </c>
      <c r="Y53" s="89">
        <f t="shared" si="30"/>
        <v>81.14064</v>
      </c>
    </row>
    <row r="54" spans="1:25" ht="12.75">
      <c r="A54" s="50" t="s">
        <v>26</v>
      </c>
      <c r="B54" s="81">
        <v>138</v>
      </c>
      <c r="C54" s="51">
        <f t="shared" si="17"/>
        <v>1602.1799999999998</v>
      </c>
      <c r="D54" s="52">
        <f t="shared" si="18"/>
        <v>278.7793199999999</v>
      </c>
      <c r="E54" s="75">
        <v>18</v>
      </c>
      <c r="F54" s="51">
        <f t="shared" si="19"/>
        <v>208.98</v>
      </c>
      <c r="G54" s="52">
        <f t="shared" si="20"/>
        <v>36.362519999999996</v>
      </c>
      <c r="H54" s="56"/>
      <c r="I54" s="57"/>
      <c r="K54" s="54"/>
      <c r="L54" s="53"/>
      <c r="M54" s="53"/>
      <c r="N54" s="54"/>
      <c r="O54" s="54"/>
      <c r="P54" s="54">
        <f t="shared" si="21"/>
        <v>315.14183999999995</v>
      </c>
      <c r="Q54" s="52">
        <f t="shared" si="22"/>
        <v>38.03435999999999</v>
      </c>
      <c r="R54" s="52">
        <f t="shared" si="23"/>
        <v>41.656679999999994</v>
      </c>
      <c r="S54" s="52">
        <f t="shared" si="24"/>
        <v>27.167399999999994</v>
      </c>
      <c r="T54" s="55">
        <f t="shared" si="25"/>
        <v>38.03435999999999</v>
      </c>
      <c r="U54" s="19">
        <f t="shared" si="26"/>
        <v>27.167399999999994</v>
      </c>
      <c r="V54" s="19">
        <f t="shared" si="27"/>
        <v>36.22319999999999</v>
      </c>
      <c r="W54" s="19">
        <f t="shared" si="28"/>
        <v>28.978559999999995</v>
      </c>
      <c r="X54" s="19">
        <f t="shared" si="29"/>
        <v>39.84551999999999</v>
      </c>
      <c r="Y54" s="89">
        <f t="shared" si="30"/>
        <v>38.03435999999999</v>
      </c>
    </row>
    <row r="55" spans="1:25" ht="12.75">
      <c r="A55" s="50" t="s">
        <v>27</v>
      </c>
      <c r="B55" s="81">
        <v>68</v>
      </c>
      <c r="C55" s="51">
        <f t="shared" si="17"/>
        <v>789.48</v>
      </c>
      <c r="D55" s="52">
        <f t="shared" si="18"/>
        <v>137.36952</v>
      </c>
      <c r="E55" s="75">
        <v>27</v>
      </c>
      <c r="F55" s="51">
        <f t="shared" si="19"/>
        <v>313.46999999999997</v>
      </c>
      <c r="G55" s="52">
        <f t="shared" si="20"/>
        <v>54.54377999999999</v>
      </c>
      <c r="H55" s="56">
        <v>50</v>
      </c>
      <c r="I55" s="57">
        <f>H55*20.62</f>
        <v>1031</v>
      </c>
      <c r="J55" s="52">
        <f>I55*174/1000</f>
        <v>179.394</v>
      </c>
      <c r="K55" s="54"/>
      <c r="L55" s="53"/>
      <c r="M55" s="53"/>
      <c r="N55" s="54"/>
      <c r="O55" s="54"/>
      <c r="P55" s="54">
        <f t="shared" si="21"/>
        <v>371.3073</v>
      </c>
      <c r="Q55" s="52">
        <f t="shared" si="22"/>
        <v>44.81295</v>
      </c>
      <c r="R55" s="52">
        <f t="shared" si="23"/>
        <v>49.08085</v>
      </c>
      <c r="S55" s="52">
        <f t="shared" si="24"/>
        <v>32.00925</v>
      </c>
      <c r="T55" s="55">
        <f t="shared" si="25"/>
        <v>44.81295</v>
      </c>
      <c r="U55" s="19">
        <f t="shared" si="26"/>
        <v>32.00925</v>
      </c>
      <c r="V55" s="19">
        <f t="shared" si="27"/>
        <v>42.679</v>
      </c>
      <c r="W55" s="19">
        <f t="shared" si="28"/>
        <v>34.1432</v>
      </c>
      <c r="X55" s="19">
        <f t="shared" si="29"/>
        <v>46.9469</v>
      </c>
      <c r="Y55" s="89">
        <f t="shared" si="30"/>
        <v>44.81295</v>
      </c>
    </row>
    <row r="56" spans="1:25" ht="12.75">
      <c r="A56" s="50" t="s">
        <v>28</v>
      </c>
      <c r="B56" s="81">
        <v>38</v>
      </c>
      <c r="C56" s="51">
        <f t="shared" si="17"/>
        <v>441.17999999999995</v>
      </c>
      <c r="D56" s="52">
        <f t="shared" si="18"/>
        <v>76.76531999999999</v>
      </c>
      <c r="E56" s="75">
        <v>11</v>
      </c>
      <c r="F56" s="51">
        <f t="shared" si="19"/>
        <v>127.71</v>
      </c>
      <c r="G56" s="52">
        <f t="shared" si="20"/>
        <v>22.221539999999997</v>
      </c>
      <c r="H56" s="56"/>
      <c r="I56" s="57"/>
      <c r="J56" s="52"/>
      <c r="K56" s="54"/>
      <c r="L56" s="53"/>
      <c r="M56" s="53"/>
      <c r="N56" s="54"/>
      <c r="O56" s="54"/>
      <c r="P56" s="54">
        <f t="shared" si="21"/>
        <v>98.98685999999998</v>
      </c>
      <c r="Q56" s="52">
        <f t="shared" si="22"/>
        <v>11.946689999999998</v>
      </c>
      <c r="R56" s="52">
        <f t="shared" si="23"/>
        <v>13.084469999999998</v>
      </c>
      <c r="S56" s="52">
        <f t="shared" si="24"/>
        <v>8.533349999999999</v>
      </c>
      <c r="T56" s="55">
        <f t="shared" si="25"/>
        <v>11.946689999999998</v>
      </c>
      <c r="U56" s="19">
        <f t="shared" si="26"/>
        <v>8.533349999999999</v>
      </c>
      <c r="V56" s="19">
        <f t="shared" si="27"/>
        <v>11.377799999999997</v>
      </c>
      <c r="W56" s="19">
        <f t="shared" si="28"/>
        <v>9.102239999999998</v>
      </c>
      <c r="X56" s="19">
        <f t="shared" si="29"/>
        <v>12.515579999999998</v>
      </c>
      <c r="Y56" s="89">
        <f t="shared" si="30"/>
        <v>11.946689999999998</v>
      </c>
    </row>
    <row r="57" spans="1:25" ht="12.75">
      <c r="A57" s="50" t="s">
        <v>29</v>
      </c>
      <c r="B57" s="81">
        <v>22</v>
      </c>
      <c r="C57" s="51">
        <f t="shared" si="17"/>
        <v>255.42</v>
      </c>
      <c r="D57" s="52">
        <f t="shared" si="18"/>
        <v>44.443079999999995</v>
      </c>
      <c r="E57" s="75">
        <v>15</v>
      </c>
      <c r="F57" s="51">
        <f t="shared" si="19"/>
        <v>174.14999999999998</v>
      </c>
      <c r="G57" s="52">
        <f t="shared" si="20"/>
        <v>30.302099999999996</v>
      </c>
      <c r="H57" s="56"/>
      <c r="I57" s="57"/>
      <c r="J57" s="52"/>
      <c r="K57" s="54"/>
      <c r="L57" s="53"/>
      <c r="M57" s="53"/>
      <c r="N57" s="54"/>
      <c r="O57" s="54"/>
      <c r="P57" s="54">
        <f t="shared" si="21"/>
        <v>74.74517999999999</v>
      </c>
      <c r="Q57" s="52">
        <f t="shared" si="22"/>
        <v>9.020969999999998</v>
      </c>
      <c r="R57" s="52">
        <f t="shared" si="23"/>
        <v>9.880109999999998</v>
      </c>
      <c r="S57" s="52">
        <f t="shared" si="24"/>
        <v>6.443549999999999</v>
      </c>
      <c r="T57" s="55">
        <f t="shared" si="25"/>
        <v>9.020969999999998</v>
      </c>
      <c r="U57" s="19">
        <f t="shared" si="26"/>
        <v>6.443549999999999</v>
      </c>
      <c r="V57" s="19">
        <f t="shared" si="27"/>
        <v>8.591399999999998</v>
      </c>
      <c r="W57" s="19">
        <f t="shared" si="28"/>
        <v>6.873119999999999</v>
      </c>
      <c r="X57" s="19">
        <f t="shared" si="29"/>
        <v>9.450539999999998</v>
      </c>
      <c r="Y57" s="89">
        <f t="shared" si="30"/>
        <v>9.020969999999998</v>
      </c>
    </row>
    <row r="58" spans="1:25" ht="12.75">
      <c r="A58" s="50" t="s">
        <v>30</v>
      </c>
      <c r="B58" s="81">
        <v>14</v>
      </c>
      <c r="C58" s="51">
        <f t="shared" si="17"/>
        <v>162.54</v>
      </c>
      <c r="D58" s="52">
        <f t="shared" si="18"/>
        <v>28.281959999999998</v>
      </c>
      <c r="E58" s="75">
        <v>2</v>
      </c>
      <c r="F58" s="51">
        <f t="shared" si="19"/>
        <v>23.22</v>
      </c>
      <c r="G58" s="52">
        <f t="shared" si="20"/>
        <v>4.04028</v>
      </c>
      <c r="H58" s="56"/>
      <c r="I58" s="57"/>
      <c r="J58" s="52"/>
      <c r="K58" s="54"/>
      <c r="L58" s="53"/>
      <c r="M58" s="53"/>
      <c r="N58" s="54"/>
      <c r="O58" s="54"/>
      <c r="P58" s="54">
        <f t="shared" si="21"/>
        <v>32.32224</v>
      </c>
      <c r="Q58" s="52">
        <f t="shared" si="22"/>
        <v>3.90096</v>
      </c>
      <c r="R58" s="52">
        <f t="shared" si="23"/>
        <v>4.27248</v>
      </c>
      <c r="S58" s="52">
        <f t="shared" si="24"/>
        <v>2.7864</v>
      </c>
      <c r="T58" s="55">
        <f t="shared" si="25"/>
        <v>3.90096</v>
      </c>
      <c r="U58" s="19">
        <f t="shared" si="26"/>
        <v>2.7864</v>
      </c>
      <c r="V58" s="19">
        <f t="shared" si="27"/>
        <v>3.7152000000000003</v>
      </c>
      <c r="W58" s="19">
        <f t="shared" si="28"/>
        <v>2.97216</v>
      </c>
      <c r="X58" s="19">
        <f t="shared" si="29"/>
        <v>4.086720000000001</v>
      </c>
      <c r="Y58" s="89">
        <f t="shared" si="30"/>
        <v>3.90096</v>
      </c>
    </row>
    <row r="59" spans="1:25" ht="12.75">
      <c r="A59" s="50" t="s">
        <v>31</v>
      </c>
      <c r="B59" s="81">
        <v>12</v>
      </c>
      <c r="C59" s="51">
        <f t="shared" si="17"/>
        <v>139.32</v>
      </c>
      <c r="D59" s="52">
        <f t="shared" si="18"/>
        <v>24.24168</v>
      </c>
      <c r="E59" s="75">
        <v>2</v>
      </c>
      <c r="F59" s="51">
        <f t="shared" si="19"/>
        <v>23.22</v>
      </c>
      <c r="G59" s="52">
        <f t="shared" si="20"/>
        <v>4.04028</v>
      </c>
      <c r="H59" s="56"/>
      <c r="I59" s="57"/>
      <c r="J59" s="52"/>
      <c r="K59" s="54"/>
      <c r="L59" s="53"/>
      <c r="M59" s="53"/>
      <c r="N59" s="54"/>
      <c r="O59" s="54"/>
      <c r="P59" s="54">
        <f t="shared" si="21"/>
        <v>28.281959999999998</v>
      </c>
      <c r="Q59" s="52">
        <f t="shared" si="22"/>
        <v>3.41334</v>
      </c>
      <c r="R59" s="52">
        <f t="shared" si="23"/>
        <v>3.7384199999999996</v>
      </c>
      <c r="S59" s="52">
        <f t="shared" si="24"/>
        <v>2.4381</v>
      </c>
      <c r="T59" s="55">
        <f t="shared" si="25"/>
        <v>3.41334</v>
      </c>
      <c r="U59" s="19">
        <f t="shared" si="26"/>
        <v>2.4381</v>
      </c>
      <c r="V59" s="19">
        <f t="shared" si="27"/>
        <v>3.2508</v>
      </c>
      <c r="W59" s="19">
        <f t="shared" si="28"/>
        <v>2.60064</v>
      </c>
      <c r="X59" s="19">
        <f t="shared" si="29"/>
        <v>3.5758799999999997</v>
      </c>
      <c r="Y59" s="89">
        <f t="shared" si="30"/>
        <v>3.41334</v>
      </c>
    </row>
    <row r="60" spans="1:25" ht="12.75">
      <c r="A60" s="50" t="s">
        <v>32</v>
      </c>
      <c r="B60" s="81">
        <v>10</v>
      </c>
      <c r="C60" s="51">
        <f t="shared" si="17"/>
        <v>116.1</v>
      </c>
      <c r="D60" s="52">
        <f t="shared" si="18"/>
        <v>20.2014</v>
      </c>
      <c r="E60" s="75">
        <v>3</v>
      </c>
      <c r="F60" s="51">
        <f t="shared" si="19"/>
        <v>34.83</v>
      </c>
      <c r="G60" s="52">
        <f t="shared" si="20"/>
        <v>6.06042</v>
      </c>
      <c r="H60" s="56"/>
      <c r="I60" s="57"/>
      <c r="J60" s="52"/>
      <c r="K60" s="54"/>
      <c r="L60" s="53"/>
      <c r="M60" s="53"/>
      <c r="N60" s="54"/>
      <c r="O60" s="54"/>
      <c r="P60" s="54">
        <f t="shared" si="21"/>
        <v>26.26182</v>
      </c>
      <c r="Q60" s="52">
        <f t="shared" si="22"/>
        <v>3.16953</v>
      </c>
      <c r="R60" s="52">
        <f t="shared" si="23"/>
        <v>3.4713900000000004</v>
      </c>
      <c r="S60" s="52">
        <f t="shared" si="24"/>
        <v>2.2639500000000004</v>
      </c>
      <c r="T60" s="55">
        <f t="shared" si="25"/>
        <v>3.16953</v>
      </c>
      <c r="U60" s="19">
        <f t="shared" si="26"/>
        <v>2.2639500000000004</v>
      </c>
      <c r="V60" s="19">
        <f t="shared" si="27"/>
        <v>3.0186</v>
      </c>
      <c r="W60" s="19">
        <f t="shared" si="28"/>
        <v>2.41488</v>
      </c>
      <c r="X60" s="19">
        <f t="shared" si="29"/>
        <v>3.32046</v>
      </c>
      <c r="Y60" s="89">
        <f t="shared" si="30"/>
        <v>3.16953</v>
      </c>
    </row>
    <row r="61" spans="1:25" ht="12.75">
      <c r="A61" s="50" t="s">
        <v>33</v>
      </c>
      <c r="B61" s="81">
        <v>18</v>
      </c>
      <c r="C61" s="51">
        <f t="shared" si="17"/>
        <v>208.98</v>
      </c>
      <c r="D61" s="52">
        <f t="shared" si="18"/>
        <v>36.362519999999996</v>
      </c>
      <c r="E61" s="75">
        <v>3</v>
      </c>
      <c r="F61" s="51">
        <f t="shared" si="19"/>
        <v>34.83</v>
      </c>
      <c r="G61" s="52">
        <f t="shared" si="20"/>
        <v>6.06042</v>
      </c>
      <c r="H61" s="56"/>
      <c r="I61" s="57"/>
      <c r="J61" s="52"/>
      <c r="K61" s="54"/>
      <c r="L61" s="53"/>
      <c r="M61" s="53"/>
      <c r="N61" s="54"/>
      <c r="O61" s="54"/>
      <c r="P61" s="54">
        <f t="shared" si="21"/>
        <v>42.42294</v>
      </c>
      <c r="Q61" s="52">
        <f t="shared" si="22"/>
        <v>5.12001</v>
      </c>
      <c r="R61" s="52">
        <f t="shared" si="23"/>
        <v>5.6076299999999994</v>
      </c>
      <c r="S61" s="52">
        <f t="shared" si="24"/>
        <v>3.6571499999999997</v>
      </c>
      <c r="T61" s="55">
        <f t="shared" si="25"/>
        <v>5.12001</v>
      </c>
      <c r="U61" s="19">
        <f t="shared" si="26"/>
        <v>3.6571499999999997</v>
      </c>
      <c r="V61" s="19">
        <f t="shared" si="27"/>
        <v>4.876199999999999</v>
      </c>
      <c r="W61" s="19">
        <f t="shared" si="28"/>
        <v>3.9009599999999995</v>
      </c>
      <c r="X61" s="19">
        <f t="shared" si="29"/>
        <v>5.36382</v>
      </c>
      <c r="Y61" s="89">
        <f t="shared" si="30"/>
        <v>5.12001</v>
      </c>
    </row>
    <row r="62" spans="1:25" ht="12.75">
      <c r="A62" s="50" t="s">
        <v>34</v>
      </c>
      <c r="B62" s="81">
        <v>15</v>
      </c>
      <c r="C62" s="51">
        <f t="shared" si="17"/>
        <v>174.14999999999998</v>
      </c>
      <c r="D62" s="52">
        <f t="shared" si="18"/>
        <v>30.302099999999996</v>
      </c>
      <c r="E62" s="75">
        <v>7</v>
      </c>
      <c r="F62" s="51">
        <f t="shared" si="19"/>
        <v>81.27</v>
      </c>
      <c r="G62" s="52">
        <f t="shared" si="20"/>
        <v>14.140979999999999</v>
      </c>
      <c r="H62" s="56"/>
      <c r="I62" s="57"/>
      <c r="J62" s="52"/>
      <c r="K62" s="54"/>
      <c r="L62" s="53"/>
      <c r="M62" s="53"/>
      <c r="N62" s="54"/>
      <c r="O62" s="54"/>
      <c r="P62" s="54">
        <f t="shared" si="21"/>
        <v>44.443079999999995</v>
      </c>
      <c r="Q62" s="52">
        <f t="shared" si="22"/>
        <v>5.36382</v>
      </c>
      <c r="R62" s="52">
        <f t="shared" si="23"/>
        <v>5.8746599999999995</v>
      </c>
      <c r="S62" s="52">
        <f t="shared" si="24"/>
        <v>3.8312999999999997</v>
      </c>
      <c r="T62" s="55">
        <f t="shared" si="25"/>
        <v>5.36382</v>
      </c>
      <c r="U62" s="19">
        <f t="shared" si="26"/>
        <v>3.8312999999999997</v>
      </c>
      <c r="V62" s="19">
        <f t="shared" si="27"/>
        <v>5.1084</v>
      </c>
      <c r="W62" s="19">
        <f t="shared" si="28"/>
        <v>4.08672</v>
      </c>
      <c r="X62" s="19">
        <f t="shared" si="29"/>
        <v>5.61924</v>
      </c>
      <c r="Y62" s="89">
        <f t="shared" si="30"/>
        <v>5.36382</v>
      </c>
    </row>
    <row r="63" spans="1:25" ht="12.75">
      <c r="A63" s="50" t="s">
        <v>35</v>
      </c>
      <c r="B63" s="81">
        <v>4</v>
      </c>
      <c r="C63" s="51">
        <f t="shared" si="17"/>
        <v>46.44</v>
      </c>
      <c r="D63" s="52">
        <f t="shared" si="18"/>
        <v>8.08056</v>
      </c>
      <c r="E63" s="75">
        <v>0</v>
      </c>
      <c r="F63" s="51">
        <f t="shared" si="19"/>
        <v>0</v>
      </c>
      <c r="G63" s="52">
        <f t="shared" si="20"/>
        <v>0</v>
      </c>
      <c r="H63" s="56"/>
      <c r="I63" s="57"/>
      <c r="J63" s="52"/>
      <c r="K63" s="54"/>
      <c r="L63" s="53"/>
      <c r="M63" s="53"/>
      <c r="N63" s="54"/>
      <c r="O63" s="54"/>
      <c r="P63" s="54">
        <f t="shared" si="21"/>
        <v>8.08056</v>
      </c>
      <c r="Q63" s="52">
        <f t="shared" si="22"/>
        <v>0.97524</v>
      </c>
      <c r="R63" s="52">
        <f t="shared" si="23"/>
        <v>1.06812</v>
      </c>
      <c r="S63" s="52">
        <f t="shared" si="24"/>
        <v>0.6966</v>
      </c>
      <c r="T63" s="55">
        <f t="shared" si="25"/>
        <v>0.97524</v>
      </c>
      <c r="U63" s="19">
        <f t="shared" si="26"/>
        <v>0.6966</v>
      </c>
      <c r="V63" s="19">
        <f t="shared" si="27"/>
        <v>0.9288000000000001</v>
      </c>
      <c r="W63" s="19">
        <f t="shared" si="28"/>
        <v>0.74304</v>
      </c>
      <c r="X63" s="19">
        <f t="shared" si="29"/>
        <v>1.0216800000000001</v>
      </c>
      <c r="Y63" s="89">
        <f t="shared" si="30"/>
        <v>0.97524</v>
      </c>
    </row>
    <row r="64" spans="1:25" ht="12.75">
      <c r="A64" s="50" t="s">
        <v>36</v>
      </c>
      <c r="B64" s="81">
        <v>18</v>
      </c>
      <c r="C64" s="51">
        <f t="shared" si="17"/>
        <v>208.98</v>
      </c>
      <c r="D64" s="52">
        <f t="shared" si="18"/>
        <v>36.362519999999996</v>
      </c>
      <c r="E64" s="75">
        <v>4</v>
      </c>
      <c r="F64" s="51">
        <f t="shared" si="19"/>
        <v>46.44</v>
      </c>
      <c r="G64" s="52">
        <f t="shared" si="20"/>
        <v>8.08056</v>
      </c>
      <c r="H64" s="56"/>
      <c r="I64" s="57"/>
      <c r="J64" s="52"/>
      <c r="K64" s="54"/>
      <c r="L64" s="53"/>
      <c r="M64" s="53"/>
      <c r="N64" s="54"/>
      <c r="O64" s="54"/>
      <c r="P64" s="54">
        <f t="shared" si="21"/>
        <v>44.443079999999995</v>
      </c>
      <c r="Q64" s="52">
        <f t="shared" si="22"/>
        <v>5.36382</v>
      </c>
      <c r="R64" s="52">
        <f t="shared" si="23"/>
        <v>5.8746599999999995</v>
      </c>
      <c r="S64" s="52">
        <f t="shared" si="24"/>
        <v>3.8312999999999997</v>
      </c>
      <c r="T64" s="55">
        <f t="shared" si="25"/>
        <v>5.36382</v>
      </c>
      <c r="U64" s="19">
        <f t="shared" si="26"/>
        <v>3.8312999999999997</v>
      </c>
      <c r="V64" s="19">
        <f t="shared" si="27"/>
        <v>5.1084</v>
      </c>
      <c r="W64" s="19">
        <f t="shared" si="28"/>
        <v>4.08672</v>
      </c>
      <c r="X64" s="19">
        <f t="shared" si="29"/>
        <v>5.61924</v>
      </c>
      <c r="Y64" s="89">
        <f t="shared" si="30"/>
        <v>5.36382</v>
      </c>
    </row>
    <row r="65" spans="1:25" ht="12.75">
      <c r="A65" s="50" t="s">
        <v>37</v>
      </c>
      <c r="B65" s="81">
        <v>40</v>
      </c>
      <c r="C65" s="51">
        <f t="shared" si="17"/>
        <v>464.4</v>
      </c>
      <c r="D65" s="52">
        <f t="shared" si="18"/>
        <v>80.8056</v>
      </c>
      <c r="E65" s="75">
        <v>24</v>
      </c>
      <c r="F65" s="51">
        <f t="shared" si="19"/>
        <v>278.64</v>
      </c>
      <c r="G65" s="52">
        <f t="shared" si="20"/>
        <v>48.48336</v>
      </c>
      <c r="H65" s="56"/>
      <c r="I65" s="57"/>
      <c r="J65" s="52"/>
      <c r="K65" s="54"/>
      <c r="L65" s="53"/>
      <c r="M65" s="53"/>
      <c r="N65" s="54"/>
      <c r="O65" s="54"/>
      <c r="P65" s="54">
        <f t="shared" si="21"/>
        <v>129.28896</v>
      </c>
      <c r="Q65" s="52">
        <f t="shared" si="22"/>
        <v>15.60384</v>
      </c>
      <c r="R65" s="52">
        <f t="shared" si="23"/>
        <v>17.08992</v>
      </c>
      <c r="S65" s="52">
        <f t="shared" si="24"/>
        <v>11.1456</v>
      </c>
      <c r="T65" s="55">
        <f t="shared" si="25"/>
        <v>15.60384</v>
      </c>
      <c r="U65" s="19">
        <f t="shared" si="26"/>
        <v>11.1456</v>
      </c>
      <c r="V65" s="19">
        <f t="shared" si="27"/>
        <v>14.860800000000001</v>
      </c>
      <c r="W65" s="19">
        <f t="shared" si="28"/>
        <v>11.88864</v>
      </c>
      <c r="X65" s="19">
        <f t="shared" si="29"/>
        <v>16.346880000000002</v>
      </c>
      <c r="Y65" s="89">
        <f t="shared" si="30"/>
        <v>15.60384</v>
      </c>
    </row>
    <row r="66" spans="1:25" ht="12.75">
      <c r="A66" s="50" t="s">
        <v>38</v>
      </c>
      <c r="B66" s="81">
        <v>22</v>
      </c>
      <c r="C66" s="51">
        <f t="shared" si="17"/>
        <v>255.42</v>
      </c>
      <c r="D66" s="52">
        <f t="shared" si="18"/>
        <v>44.443079999999995</v>
      </c>
      <c r="E66" s="75">
        <v>3</v>
      </c>
      <c r="F66" s="51">
        <f t="shared" si="19"/>
        <v>34.83</v>
      </c>
      <c r="G66" s="52">
        <f t="shared" si="20"/>
        <v>6.06042</v>
      </c>
      <c r="H66" s="56"/>
      <c r="I66" s="57"/>
      <c r="J66" s="52"/>
      <c r="M66" s="53"/>
      <c r="N66" s="54"/>
      <c r="O66" s="54"/>
      <c r="P66" s="54">
        <f t="shared" si="21"/>
        <v>50.503499999999995</v>
      </c>
      <c r="Q66" s="52">
        <f t="shared" si="22"/>
        <v>6.095249999999999</v>
      </c>
      <c r="R66" s="52">
        <f t="shared" si="23"/>
        <v>6.675749999999999</v>
      </c>
      <c r="S66" s="52">
        <f t="shared" si="24"/>
        <v>4.353749999999999</v>
      </c>
      <c r="T66" s="55">
        <f t="shared" si="25"/>
        <v>6.095249999999999</v>
      </c>
      <c r="U66" s="19">
        <f t="shared" si="26"/>
        <v>4.353749999999999</v>
      </c>
      <c r="V66" s="19">
        <f t="shared" si="27"/>
        <v>5.804999999999999</v>
      </c>
      <c r="W66" s="19">
        <f t="shared" si="28"/>
        <v>4.643999999999999</v>
      </c>
      <c r="X66" s="19">
        <f t="shared" si="29"/>
        <v>6.385499999999999</v>
      </c>
      <c r="Y66" s="89">
        <f t="shared" si="30"/>
        <v>6.095249999999999</v>
      </c>
    </row>
    <row r="67" spans="1:25" ht="12.75">
      <c r="A67" s="50" t="s">
        <v>39</v>
      </c>
      <c r="B67" s="81">
        <v>9</v>
      </c>
      <c r="C67" s="51">
        <f t="shared" si="17"/>
        <v>104.49</v>
      </c>
      <c r="D67" s="52">
        <f t="shared" si="18"/>
        <v>18.181259999999998</v>
      </c>
      <c r="E67" s="75">
        <v>0</v>
      </c>
      <c r="F67" s="51">
        <f t="shared" si="19"/>
        <v>0</v>
      </c>
      <c r="G67" s="52">
        <f t="shared" si="20"/>
        <v>0</v>
      </c>
      <c r="H67" s="56"/>
      <c r="I67" s="57"/>
      <c r="J67" s="52"/>
      <c r="K67" s="54"/>
      <c r="L67" s="53"/>
      <c r="M67" s="53"/>
      <c r="N67" s="54"/>
      <c r="O67" s="54"/>
      <c r="P67" s="54">
        <f t="shared" si="21"/>
        <v>18.181259999999998</v>
      </c>
      <c r="Q67" s="52">
        <f t="shared" si="22"/>
        <v>2.1942899999999996</v>
      </c>
      <c r="R67" s="52">
        <f t="shared" si="23"/>
        <v>2.4032699999999996</v>
      </c>
      <c r="S67" s="52">
        <f t="shared" si="24"/>
        <v>1.5673499999999998</v>
      </c>
      <c r="T67" s="55">
        <f t="shared" si="25"/>
        <v>2.1942899999999996</v>
      </c>
      <c r="U67" s="19">
        <f t="shared" si="26"/>
        <v>1.5673499999999998</v>
      </c>
      <c r="V67" s="19">
        <f t="shared" si="27"/>
        <v>2.0898</v>
      </c>
      <c r="W67" s="19">
        <f t="shared" si="28"/>
        <v>1.6718399999999998</v>
      </c>
      <c r="X67" s="19">
        <f t="shared" si="29"/>
        <v>2.29878</v>
      </c>
      <c r="Y67" s="89">
        <f t="shared" si="30"/>
        <v>2.1942899999999996</v>
      </c>
    </row>
    <row r="68" spans="1:25" ht="12.75">
      <c r="A68" s="50" t="s">
        <v>40</v>
      </c>
      <c r="B68" s="81">
        <v>10</v>
      </c>
      <c r="C68" s="51">
        <f t="shared" si="17"/>
        <v>116.1</v>
      </c>
      <c r="D68" s="52">
        <f t="shared" si="18"/>
        <v>20.2014</v>
      </c>
      <c r="E68" s="75">
        <v>3</v>
      </c>
      <c r="F68" s="51">
        <f t="shared" si="19"/>
        <v>34.83</v>
      </c>
      <c r="G68" s="52">
        <f t="shared" si="20"/>
        <v>6.06042</v>
      </c>
      <c r="H68" s="56"/>
      <c r="I68" s="57"/>
      <c r="J68" s="52"/>
      <c r="K68" s="54"/>
      <c r="L68" s="53"/>
      <c r="M68" s="53"/>
      <c r="N68" s="54"/>
      <c r="O68" s="54"/>
      <c r="P68" s="54">
        <f t="shared" si="21"/>
        <v>26.26182</v>
      </c>
      <c r="Q68" s="52">
        <f t="shared" si="22"/>
        <v>3.16953</v>
      </c>
      <c r="R68" s="52">
        <f t="shared" si="23"/>
        <v>3.4713900000000004</v>
      </c>
      <c r="S68" s="52">
        <f t="shared" si="24"/>
        <v>2.2639500000000004</v>
      </c>
      <c r="T68" s="55">
        <f t="shared" si="25"/>
        <v>3.16953</v>
      </c>
      <c r="U68" s="19">
        <f t="shared" si="26"/>
        <v>2.2639500000000004</v>
      </c>
      <c r="V68" s="19">
        <f t="shared" si="27"/>
        <v>3.0186</v>
      </c>
      <c r="W68" s="19">
        <f t="shared" si="28"/>
        <v>2.41488</v>
      </c>
      <c r="X68" s="19">
        <f t="shared" si="29"/>
        <v>3.32046</v>
      </c>
      <c r="Y68" s="89">
        <f t="shared" si="30"/>
        <v>3.16953</v>
      </c>
    </row>
    <row r="69" spans="1:25" ht="12.75">
      <c r="A69" s="50" t="s">
        <v>41</v>
      </c>
      <c r="B69" s="81">
        <v>3</v>
      </c>
      <c r="C69" s="51">
        <f t="shared" si="17"/>
        <v>34.83</v>
      </c>
      <c r="D69" s="52">
        <f t="shared" si="18"/>
        <v>6.06042</v>
      </c>
      <c r="E69" s="75">
        <v>0</v>
      </c>
      <c r="F69" s="51">
        <f t="shared" si="19"/>
        <v>0</v>
      </c>
      <c r="G69" s="52">
        <f t="shared" si="20"/>
        <v>0</v>
      </c>
      <c r="H69" s="56"/>
      <c r="I69" s="58"/>
      <c r="J69" s="54"/>
      <c r="K69" s="54"/>
      <c r="L69" s="53"/>
      <c r="M69" s="53"/>
      <c r="N69" s="54"/>
      <c r="O69" s="54"/>
      <c r="P69" s="54">
        <f t="shared" si="21"/>
        <v>6.06042</v>
      </c>
      <c r="Q69" s="52">
        <f t="shared" si="22"/>
        <v>0.73143</v>
      </c>
      <c r="R69" s="52">
        <f t="shared" si="23"/>
        <v>0.80109</v>
      </c>
      <c r="S69" s="52">
        <f t="shared" si="24"/>
        <v>0.52245</v>
      </c>
      <c r="T69" s="55">
        <f t="shared" si="25"/>
        <v>0.73143</v>
      </c>
      <c r="U69" s="19">
        <f t="shared" si="26"/>
        <v>0.52245</v>
      </c>
      <c r="V69" s="19">
        <f t="shared" si="27"/>
        <v>0.6966</v>
      </c>
      <c r="W69" s="19">
        <f t="shared" si="28"/>
        <v>0.55728</v>
      </c>
      <c r="X69" s="19">
        <f t="shared" si="29"/>
        <v>0.7662599999999999</v>
      </c>
      <c r="Y69" s="89">
        <f t="shared" si="30"/>
        <v>0.73143</v>
      </c>
    </row>
    <row r="70" spans="1:25" ht="12.75">
      <c r="A70" s="50" t="s">
        <v>42</v>
      </c>
      <c r="B70" s="81">
        <v>8</v>
      </c>
      <c r="C70" s="51">
        <f t="shared" si="17"/>
        <v>92.88</v>
      </c>
      <c r="D70" s="52">
        <f t="shared" si="18"/>
        <v>16.16112</v>
      </c>
      <c r="E70" s="75">
        <v>0</v>
      </c>
      <c r="F70" s="51">
        <f t="shared" si="19"/>
        <v>0</v>
      </c>
      <c r="G70" s="52">
        <f t="shared" si="20"/>
        <v>0</v>
      </c>
      <c r="H70" s="56"/>
      <c r="I70" s="58"/>
      <c r="J70" s="54"/>
      <c r="K70" s="54"/>
      <c r="L70" s="53"/>
      <c r="M70" s="53"/>
      <c r="N70" s="54"/>
      <c r="O70" s="54"/>
      <c r="P70" s="54">
        <f t="shared" si="21"/>
        <v>16.16112</v>
      </c>
      <c r="Q70" s="52">
        <f t="shared" si="22"/>
        <v>1.95048</v>
      </c>
      <c r="R70" s="52">
        <f t="shared" si="23"/>
        <v>2.13624</v>
      </c>
      <c r="S70" s="52">
        <f t="shared" si="24"/>
        <v>1.3932</v>
      </c>
      <c r="T70" s="55">
        <f t="shared" si="25"/>
        <v>1.95048</v>
      </c>
      <c r="U70" s="19">
        <f t="shared" si="26"/>
        <v>1.3932</v>
      </c>
      <c r="V70" s="19">
        <f t="shared" si="27"/>
        <v>1.8576000000000001</v>
      </c>
      <c r="W70" s="19">
        <f t="shared" si="28"/>
        <v>1.48608</v>
      </c>
      <c r="X70" s="19">
        <f t="shared" si="29"/>
        <v>2.0433600000000003</v>
      </c>
      <c r="Y70" s="89">
        <f t="shared" si="30"/>
        <v>1.95048</v>
      </c>
    </row>
    <row r="71" spans="1:25" ht="12.75">
      <c r="A71" s="59" t="s">
        <v>43</v>
      </c>
      <c r="B71" s="79">
        <f aca="true" t="shared" si="31" ref="B71:Y71">SUM(B49:B70)</f>
        <v>819</v>
      </c>
      <c r="C71" s="60">
        <f t="shared" si="31"/>
        <v>9508.589999999997</v>
      </c>
      <c r="D71" s="60">
        <f t="shared" si="31"/>
        <v>1654.4946599999998</v>
      </c>
      <c r="E71" s="79">
        <f t="shared" si="31"/>
        <v>198</v>
      </c>
      <c r="F71" s="79">
        <f t="shared" si="31"/>
        <v>2298.7799999999997</v>
      </c>
      <c r="G71" s="83">
        <f t="shared" si="31"/>
        <v>399.9877200000001</v>
      </c>
      <c r="H71" s="61">
        <f t="shared" si="31"/>
        <v>100</v>
      </c>
      <c r="I71" s="62">
        <f t="shared" si="31"/>
        <v>2062</v>
      </c>
      <c r="J71" s="63">
        <f t="shared" si="31"/>
        <v>358.788</v>
      </c>
      <c r="K71" s="62">
        <f t="shared" si="31"/>
        <v>50</v>
      </c>
      <c r="L71" s="62">
        <f t="shared" si="31"/>
        <v>0</v>
      </c>
      <c r="M71" s="62">
        <f t="shared" si="31"/>
        <v>0</v>
      </c>
      <c r="N71" s="62">
        <f t="shared" si="31"/>
        <v>580.5</v>
      </c>
      <c r="O71" s="63">
        <f t="shared" si="31"/>
        <v>101.007</v>
      </c>
      <c r="P71" s="63">
        <f t="shared" si="31"/>
        <v>2514.2773799999995</v>
      </c>
      <c r="Q71" s="63">
        <f t="shared" si="31"/>
        <v>292.60663</v>
      </c>
      <c r="R71" s="63">
        <f t="shared" si="31"/>
        <v>320.47869</v>
      </c>
      <c r="S71" s="63">
        <f t="shared" si="31"/>
        <v>216.74804999999995</v>
      </c>
      <c r="T71" s="63">
        <f t="shared" si="31"/>
        <v>303.44726999999995</v>
      </c>
      <c r="U71" s="63">
        <f t="shared" si="31"/>
        <v>216.74804999999995</v>
      </c>
      <c r="V71" s="63">
        <f t="shared" si="31"/>
        <v>288.99739999999997</v>
      </c>
      <c r="W71" s="63">
        <f t="shared" si="31"/>
        <v>231.19792000000004</v>
      </c>
      <c r="X71" s="63">
        <f t="shared" si="31"/>
        <v>317.89714</v>
      </c>
      <c r="Y71" s="88">
        <f t="shared" si="31"/>
        <v>303.44726999999995</v>
      </c>
    </row>
    <row r="72" spans="1:25" ht="12.75">
      <c r="A72" s="65"/>
      <c r="B72" s="82"/>
      <c r="C72" s="67"/>
      <c r="D72" s="68"/>
      <c r="E72" s="67"/>
      <c r="F72" s="68"/>
      <c r="G72" s="68"/>
      <c r="H72" s="69"/>
      <c r="I72" s="67"/>
      <c r="J72" s="68"/>
      <c r="K72" s="67"/>
      <c r="L72" s="67"/>
      <c r="M72" s="67"/>
      <c r="N72" s="67"/>
      <c r="O72" s="68"/>
      <c r="P72" s="68"/>
      <c r="Q72" s="84"/>
      <c r="R72" s="84"/>
      <c r="S72" s="84"/>
      <c r="T72" s="84"/>
      <c r="U72" s="84"/>
      <c r="V72" s="84"/>
      <c r="W72" s="84"/>
      <c r="X72" s="84"/>
      <c r="Y72" s="90"/>
    </row>
    <row r="73" ht="12.75">
      <c r="A73" t="s">
        <v>75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Некрасова Дарья Владимировна</cp:lastModifiedBy>
  <cp:lastPrinted>2020-09-10T09:49:56Z</cp:lastPrinted>
  <dcterms:created xsi:type="dcterms:W3CDTF">2016-09-13T13:00:18Z</dcterms:created>
  <dcterms:modified xsi:type="dcterms:W3CDTF">2020-09-16T06:49:47Z</dcterms:modified>
  <cp:category/>
  <cp:version/>
  <cp:contentType/>
  <cp:contentStatus/>
</cp:coreProperties>
</file>